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C:\Users\rccm\Documents\Web Easy\Documents\HVACnotebook html\CalcSheets\"/>
    </mc:Choice>
  </mc:AlternateContent>
  <workbookProtection workbookPassword="D910" lockStructure="1"/>
  <bookViews>
    <workbookView xWindow="1005" yWindow="270" windowWidth="19320" windowHeight="10860" tabRatio="764" activeTab="7"/>
  </bookViews>
  <sheets>
    <sheet name="Main" sheetId="11" r:id="rId1"/>
    <sheet name="Temperature" sheetId="8" r:id="rId2"/>
    <sheet name="Distance" sheetId="1" r:id="rId3"/>
    <sheet name="Volume" sheetId="10" r:id="rId4"/>
    <sheet name="Velocity" sheetId="9" r:id="rId5"/>
    <sheet name="Pressure" sheetId="4" r:id="rId6"/>
    <sheet name="Weight" sheetId="6" r:id="rId7"/>
    <sheet name="Time Date" sheetId="17" r:id="rId8"/>
    <sheet name="Area" sheetId="16" r:id="rId9"/>
    <sheet name="Energy" sheetId="7" r:id="rId10"/>
    <sheet name="Power" sheetId="5" r:id="rId11"/>
    <sheet name="Feet-inches" sheetId="14" r:id="rId12"/>
    <sheet name="US vs Metric" sheetId="15" r:id="rId13"/>
    <sheet name="Disclaimer" sheetId="13" r:id="rId14"/>
  </sheets>
  <externalReferences>
    <externalReference r:id="rId15"/>
    <externalReference r:id="rId16"/>
  </externalReferences>
  <definedNames>
    <definedName name="PipeSize" localSheetId="12">'[1]Pipe Cost'!$N$7:$N$25</definedName>
    <definedName name="PipeSize">'[2]Pipe Cost'!$N$7:$N$25</definedName>
    <definedName name="_xlnm.Print_Area" localSheetId="13">Disclaimer!$A$3:$I$18</definedName>
  </definedNames>
  <calcPr calcId="171027"/>
</workbook>
</file>

<file path=xl/calcChain.xml><?xml version="1.0" encoding="utf-8"?>
<calcChain xmlns="http://schemas.openxmlformats.org/spreadsheetml/2006/main">
  <c r="H24" i="17" l="1"/>
  <c r="H23" i="17"/>
  <c r="H21" i="17"/>
  <c r="H20" i="17"/>
  <c r="H18" i="17"/>
  <c r="H17" i="17"/>
  <c r="H15" i="17"/>
  <c r="H14" i="17"/>
  <c r="H12" i="17"/>
  <c r="H11" i="17"/>
  <c r="H9" i="17"/>
  <c r="H8" i="17"/>
  <c r="H6" i="17"/>
  <c r="H5" i="17"/>
  <c r="H14" i="16"/>
  <c r="H12" i="16"/>
  <c r="H11" i="16"/>
  <c r="H8" i="16"/>
  <c r="H6" i="16"/>
  <c r="H5" i="16"/>
  <c r="L7" i="14"/>
  <c r="N7" i="14" s="1"/>
  <c r="L8" i="14"/>
  <c r="N8" i="14" s="1"/>
  <c r="L9" i="14"/>
  <c r="N9" i="14" s="1"/>
  <c r="L10" i="14"/>
  <c r="N10" i="14" s="1"/>
  <c r="D7" i="14"/>
  <c r="D8" i="14"/>
  <c r="D9" i="14"/>
  <c r="D10" i="14"/>
  <c r="F10" i="14"/>
  <c r="F9" i="14"/>
  <c r="F8" i="14"/>
  <c r="F7" i="14"/>
  <c r="H33" i="15"/>
  <c r="H32" i="15"/>
  <c r="H30" i="15"/>
  <c r="H29" i="15"/>
  <c r="H27" i="15"/>
  <c r="H26" i="15"/>
  <c r="H24" i="15"/>
  <c r="H23" i="15"/>
  <c r="H21" i="15"/>
  <c r="H18" i="15"/>
  <c r="H17" i="15"/>
  <c r="H14" i="15"/>
  <c r="H12" i="15"/>
  <c r="H11" i="15"/>
  <c r="H9" i="15"/>
  <c r="H8" i="15"/>
  <c r="H6" i="15"/>
  <c r="H5" i="15"/>
  <c r="H6" i="6"/>
  <c r="H30" i="9"/>
  <c r="H51" i="9"/>
  <c r="H42" i="1"/>
  <c r="H39" i="1"/>
  <c r="H35" i="1"/>
  <c r="H36" i="1"/>
  <c r="H30" i="4"/>
  <c r="H33" i="4"/>
  <c r="H27" i="4"/>
  <c r="H26" i="4"/>
  <c r="H24" i="4"/>
  <c r="H23" i="4"/>
  <c r="H21" i="4"/>
  <c r="H18" i="4"/>
  <c r="H17" i="4"/>
  <c r="H15" i="4"/>
  <c r="H14" i="4"/>
  <c r="H12" i="4"/>
  <c r="H11" i="4"/>
  <c r="H8" i="4"/>
  <c r="H6" i="4"/>
  <c r="H5" i="4"/>
  <c r="H27" i="9"/>
  <c r="H26" i="9"/>
  <c r="H18" i="9"/>
  <c r="H15" i="9"/>
  <c r="H14" i="9"/>
  <c r="H12" i="9"/>
  <c r="H11" i="9"/>
  <c r="H9" i="9"/>
  <c r="H6" i="9"/>
  <c r="H5" i="9"/>
  <c r="H14" i="8"/>
  <c r="H12" i="8"/>
  <c r="H11" i="8"/>
  <c r="H8" i="8"/>
  <c r="H6" i="8"/>
  <c r="H5" i="8"/>
  <c r="H30" i="1"/>
  <c r="H29" i="1"/>
  <c r="H27" i="1"/>
  <c r="H26" i="1"/>
  <c r="H14" i="1"/>
  <c r="H12" i="1"/>
  <c r="H11" i="1"/>
  <c r="H8" i="1"/>
  <c r="H6" i="1"/>
  <c r="H5" i="1"/>
  <c r="H33" i="5"/>
  <c r="H30" i="5"/>
  <c r="H27" i="5"/>
  <c r="H24" i="5"/>
  <c r="H21" i="5"/>
  <c r="H18" i="5"/>
  <c r="H15" i="5"/>
  <c r="H9" i="5"/>
  <c r="H6" i="5"/>
  <c r="H32" i="5"/>
  <c r="H29" i="5"/>
  <c r="H26" i="5"/>
  <c r="H23" i="5"/>
  <c r="H17" i="5"/>
  <c r="H14" i="5"/>
  <c r="H11" i="5"/>
  <c r="H8" i="5"/>
  <c r="H5" i="5"/>
  <c r="H42" i="7"/>
  <c r="H39" i="7"/>
  <c r="H38" i="7"/>
  <c r="H36" i="7"/>
  <c r="H33" i="7"/>
  <c r="H20" i="7"/>
  <c r="H21" i="7"/>
  <c r="H30" i="7"/>
  <c r="H27" i="7"/>
  <c r="H24" i="7"/>
  <c r="H18" i="7"/>
  <c r="H15" i="7"/>
  <c r="H12" i="7"/>
  <c r="H9" i="7"/>
  <c r="H6" i="7"/>
  <c r="H41" i="7"/>
  <c r="H35" i="7"/>
  <c r="H32" i="7"/>
  <c r="H29" i="7"/>
  <c r="H26" i="7"/>
  <c r="H23" i="7"/>
  <c r="H17" i="7"/>
  <c r="H14" i="7"/>
  <c r="H11" i="7"/>
  <c r="H8" i="7"/>
  <c r="H5" i="7"/>
  <c r="H30" i="6"/>
  <c r="H27" i="6"/>
  <c r="H24" i="6"/>
  <c r="H21" i="6"/>
  <c r="H18" i="6"/>
  <c r="H15" i="6"/>
  <c r="H9" i="6"/>
  <c r="H29" i="6"/>
  <c r="H26" i="6"/>
  <c r="H20" i="6"/>
  <c r="H17" i="6"/>
  <c r="H14" i="6"/>
  <c r="H11" i="6"/>
  <c r="H8" i="6"/>
  <c r="H5" i="6"/>
  <c r="H29" i="4"/>
  <c r="H32" i="4"/>
  <c r="H48" i="9"/>
  <c r="H45" i="9"/>
  <c r="H42" i="9"/>
  <c r="H39" i="9"/>
  <c r="H36" i="9"/>
  <c r="H33" i="9"/>
  <c r="H21" i="9"/>
  <c r="H50" i="9"/>
  <c r="H47" i="9"/>
  <c r="H44" i="9"/>
  <c r="H41" i="9"/>
  <c r="H38" i="9"/>
  <c r="H35" i="9"/>
  <c r="H29" i="9"/>
  <c r="H23" i="9"/>
  <c r="H20" i="9"/>
  <c r="H33" i="1"/>
  <c r="H24" i="1"/>
  <c r="H21" i="1"/>
  <c r="H18" i="1"/>
  <c r="H39" i="10"/>
  <c r="H36" i="10"/>
  <c r="H33" i="10"/>
  <c r="H30" i="10"/>
  <c r="H27" i="10"/>
  <c r="H24" i="10"/>
  <c r="H21" i="10"/>
  <c r="H15" i="10"/>
  <c r="H12" i="10"/>
  <c r="H6" i="10"/>
  <c r="H35" i="10"/>
  <c r="H32" i="10"/>
  <c r="H26" i="10"/>
  <c r="H23" i="10"/>
  <c r="H20" i="10"/>
  <c r="H17" i="10"/>
  <c r="H14" i="10"/>
  <c r="H11" i="10"/>
  <c r="H8" i="10"/>
  <c r="H5" i="10"/>
  <c r="I10" i="11"/>
  <c r="H23" i="1"/>
  <c r="H41" i="1"/>
  <c r="H17" i="1"/>
</calcChain>
</file>

<file path=xl/sharedStrings.xml><?xml version="1.0" encoding="utf-8"?>
<sst xmlns="http://schemas.openxmlformats.org/spreadsheetml/2006/main" count="1084" uniqueCount="452">
  <si>
    <t>Rankine</t>
  </si>
  <si>
    <t>Fahrenheit</t>
  </si>
  <si>
    <t>Celsius</t>
  </si>
  <si>
    <t>VOLUMETRIC FLOW</t>
  </si>
  <si>
    <t>psi = kPa x 6.895</t>
  </si>
  <si>
    <t>Formulas</t>
  </si>
  <si>
    <t>Kevin</t>
  </si>
  <si>
    <t>=</t>
  </si>
  <si>
    <t>Result</t>
  </si>
  <si>
    <t>cm</t>
  </si>
  <si>
    <t>yard</t>
  </si>
  <si>
    <t>meter</t>
  </si>
  <si>
    <t>mm</t>
  </si>
  <si>
    <t>feet</t>
  </si>
  <si>
    <t>yards</t>
  </si>
  <si>
    <t>mile</t>
  </si>
  <si>
    <t>inches</t>
  </si>
  <si>
    <t>km</t>
  </si>
  <si>
    <t>m</t>
  </si>
  <si>
    <t>kg</t>
  </si>
  <si>
    <t>lbs</t>
  </si>
  <si>
    <t>oz</t>
  </si>
  <si>
    <t>lb</t>
  </si>
  <si>
    <t>Ton</t>
  </si>
  <si>
    <t>slug</t>
  </si>
  <si>
    <t>Distance</t>
  </si>
  <si>
    <t>Temperature</t>
  </si>
  <si>
    <t>Area</t>
  </si>
  <si>
    <t>Volume</t>
  </si>
  <si>
    <t>Pressure</t>
  </si>
  <si>
    <t>Velocity</t>
  </si>
  <si>
    <t>Weight</t>
  </si>
  <si>
    <t>Power</t>
  </si>
  <si>
    <t>mph</t>
  </si>
  <si>
    <t>ft/min</t>
  </si>
  <si>
    <t>m/s</t>
  </si>
  <si>
    <t>ft/s</t>
  </si>
  <si>
    <t>km/hr</t>
  </si>
  <si>
    <t>psia</t>
  </si>
  <si>
    <t>atm</t>
  </si>
  <si>
    <t>in. Hg</t>
  </si>
  <si>
    <t>psi</t>
  </si>
  <si>
    <t>Conversion Basis</t>
  </si>
  <si>
    <t>1 foot = 0.3048 meter</t>
  </si>
  <si>
    <t>1 inch = 25.4 mm</t>
  </si>
  <si>
    <t>1 inch = 2.54 cm</t>
  </si>
  <si>
    <t>1 km = 3,281 feet</t>
  </si>
  <si>
    <t>1 km = 1,094 yards</t>
  </si>
  <si>
    <t>1 km = 0.6214 mile</t>
  </si>
  <si>
    <t>1 mile = 5,280 feet</t>
  </si>
  <si>
    <t>1 mile = 1,760 yards</t>
  </si>
  <si>
    <t>1 mile = 1,609.3 meter</t>
  </si>
  <si>
    <t>1 yard = 3 feet</t>
  </si>
  <si>
    <t>1 yard = 0.9144 meter</t>
  </si>
  <si>
    <t xml:space="preserve"> Celsius = (5/9) x (Fahrenheit - 32)</t>
  </si>
  <si>
    <t>Celsius = Kevin - 273.15</t>
  </si>
  <si>
    <t>Fahrenheit = (9/5) x Celsius + 32</t>
  </si>
  <si>
    <t>Fahrenheit = (9/5) x (Kevin - 273.15) + 32</t>
  </si>
  <si>
    <t>Rankine = (9/5) x Kevin</t>
  </si>
  <si>
    <t>Common Equilvalent</t>
  </si>
  <si>
    <t>TEMPERATURE CONVERSIONS</t>
  </si>
  <si>
    <t>DISTANCE CONVERSIONS</t>
  </si>
  <si>
    <t>1 fluid oz = 2 tablespoons</t>
  </si>
  <si>
    <t>1 cu. yard = 27 cu. ft</t>
  </si>
  <si>
    <t>1 cord = 128 cu. ft</t>
  </si>
  <si>
    <t>Pints</t>
  </si>
  <si>
    <t>cu. ft.</t>
  </si>
  <si>
    <t>VOLUME CONVERSIONS</t>
  </si>
  <si>
    <t>tablespoons</t>
  </si>
  <si>
    <t>fluid oz</t>
  </si>
  <si>
    <t>fluid ounce</t>
  </si>
  <si>
    <t>cord</t>
  </si>
  <si>
    <t>cu. yard</t>
  </si>
  <si>
    <t>cu. meters</t>
  </si>
  <si>
    <t>cu. inches</t>
  </si>
  <si>
    <t>VELOCITY CONVERSIONS</t>
  </si>
  <si>
    <t>1 ft/min = 0.0114 mph</t>
  </si>
  <si>
    <t>1 ft/s = 0.3048 m/s</t>
  </si>
  <si>
    <t>1 km/hr = 0.2778 m/s</t>
  </si>
  <si>
    <t>1 km/hr = 54.68 ft/min</t>
  </si>
  <si>
    <t>1 km/hr = 0.6214 mph</t>
  </si>
  <si>
    <t>1 km/hr = 0.5396 knot</t>
  </si>
  <si>
    <t>1 knot = 1.1515 mph</t>
  </si>
  <si>
    <t>1 League = 3 miles</t>
  </si>
  <si>
    <t>1 mach = 741.455 mph</t>
  </si>
  <si>
    <t>1 mach = 1193.256 km/hr</t>
  </si>
  <si>
    <t>1 mph = 1.467 ft/sec</t>
  </si>
  <si>
    <t>1 meter/sec = 2.237 mph</t>
  </si>
  <si>
    <t>1 meter/sec = 196.85 ft/min</t>
  </si>
  <si>
    <t>1 meter/sec = 3.6 kilometer/hr</t>
  </si>
  <si>
    <t>PRESSURE CONVERSIONS</t>
  </si>
  <si>
    <t>1 atm = 14.7 psia</t>
  </si>
  <si>
    <t>1 atm = 29.92 in. Hg</t>
  </si>
  <si>
    <t>WEIGHT CONVERSIONS</t>
  </si>
  <si>
    <t>1 kg = 2.2046 lbs</t>
  </si>
  <si>
    <t>1 lb = 16 oz</t>
  </si>
  <si>
    <t>1 Ton = 2,000 lbs</t>
  </si>
  <si>
    <t>1 Ton = 907 kg</t>
  </si>
  <si>
    <t>1 slug = 14.594 kg</t>
  </si>
  <si>
    <t>ENERGY CONVERSIONS</t>
  </si>
  <si>
    <t>POWER CONVERSIONS</t>
  </si>
  <si>
    <t>Enter Value</t>
  </si>
  <si>
    <t>cu. cm</t>
  </si>
  <si>
    <t>1 Btu = 1,055.06 J</t>
  </si>
  <si>
    <t>1 cal = 4.186 J</t>
  </si>
  <si>
    <t>1 ft lbf = 1.3558 J</t>
  </si>
  <si>
    <t>1 HP hr = 0.7457 kWh</t>
  </si>
  <si>
    <r>
      <t>1 HP hr = 2.6846x10</t>
    </r>
    <r>
      <rPr>
        <b/>
        <vertAlign val="superscript"/>
        <sz val="10"/>
        <rFont val="Arial"/>
        <family val="2"/>
      </rPr>
      <t>6</t>
    </r>
    <r>
      <rPr>
        <b/>
        <sz val="10"/>
        <rFont val="Arial"/>
        <family val="2"/>
      </rPr>
      <t xml:space="preserve"> J</t>
    </r>
  </si>
  <si>
    <t>1 Joule = 1 watt second</t>
  </si>
  <si>
    <t>1 Joule = 1 Nm</t>
  </si>
  <si>
    <t>1 Joule = 1 ft lb</t>
  </si>
  <si>
    <t>1 kcal = 3.9683 Btu</t>
  </si>
  <si>
    <t>1 kJ = 0.947813 Btu</t>
  </si>
  <si>
    <r>
      <t>1 kWh = 3.6x10</t>
    </r>
    <r>
      <rPr>
        <b/>
        <vertAlign val="superscript"/>
        <sz val="10"/>
        <rFont val="Arial"/>
        <family val="2"/>
      </rPr>
      <t>6</t>
    </r>
    <r>
      <rPr>
        <b/>
        <sz val="10"/>
        <rFont val="Arial"/>
        <family val="2"/>
      </rPr>
      <t xml:space="preserve"> J</t>
    </r>
  </si>
  <si>
    <t>1 kWh = 3,412 Btu</t>
  </si>
  <si>
    <t>1 Btu/hr = 0.001 MBH</t>
  </si>
  <si>
    <t>1 Btu/hr = 0.293 W</t>
  </si>
  <si>
    <t>1 Btu/s = 1055.1 W</t>
  </si>
  <si>
    <t>1 HP = 0.746 kW</t>
  </si>
  <si>
    <t>1 HP = 550 ft lb/s</t>
  </si>
  <si>
    <t>1 HP = 33 ft lb/m</t>
  </si>
  <si>
    <t>1 kW = 1,000 Watts</t>
  </si>
  <si>
    <t>1 W = 1 J/s</t>
  </si>
  <si>
    <t>1 cu. yard = 0.7646 cu. meters</t>
  </si>
  <si>
    <t>in. water = Pa x 249</t>
  </si>
  <si>
    <t>ft. water = Pa x 0.00299</t>
  </si>
  <si>
    <t>knot</t>
  </si>
  <si>
    <t>1 knot = 1.852 kilometers/hr</t>
  </si>
  <si>
    <t>1 knot = 1 nautical mile/hr</t>
  </si>
  <si>
    <t>nautical mile/hr</t>
  </si>
  <si>
    <t>Leauge</t>
  </si>
  <si>
    <t>miles</t>
  </si>
  <si>
    <t>mach</t>
  </si>
  <si>
    <t>meter/sec</t>
  </si>
  <si>
    <t>kilometer/hr</t>
  </si>
  <si>
    <t>ft/sec</t>
  </si>
  <si>
    <t>in. water</t>
  </si>
  <si>
    <r>
      <t>ft. H</t>
    </r>
    <r>
      <rPr>
        <vertAlign val="subscript"/>
        <sz val="10"/>
        <rFont val="Arial"/>
        <family val="2"/>
      </rPr>
      <t>2</t>
    </r>
    <r>
      <rPr>
        <sz val="10"/>
        <rFont val="Arial"/>
        <family val="2"/>
      </rPr>
      <t>0</t>
    </r>
  </si>
  <si>
    <t>mm Hg</t>
  </si>
  <si>
    <t>lbs/sq.ft</t>
  </si>
  <si>
    <t>in. mercury</t>
  </si>
  <si>
    <t>1 mm Hg = 1 torr</t>
  </si>
  <si>
    <t>lb/in2</t>
  </si>
  <si>
    <t>torr</t>
  </si>
  <si>
    <r>
      <t>lb/ft</t>
    </r>
    <r>
      <rPr>
        <vertAlign val="superscript"/>
        <sz val="10"/>
        <rFont val="Arial"/>
        <family val="2"/>
      </rPr>
      <t>2</t>
    </r>
  </si>
  <si>
    <t>Btu</t>
  </si>
  <si>
    <t>cal</t>
  </si>
  <si>
    <t>ft. lbf</t>
  </si>
  <si>
    <t>HP hr</t>
  </si>
  <si>
    <t>Joule</t>
  </si>
  <si>
    <t>kcal</t>
  </si>
  <si>
    <t>kJ</t>
  </si>
  <si>
    <t>kWh</t>
  </si>
  <si>
    <t>J</t>
  </si>
  <si>
    <t>watt sec</t>
  </si>
  <si>
    <t>Nm</t>
  </si>
  <si>
    <t>ft lb</t>
  </si>
  <si>
    <t>watt hr</t>
  </si>
  <si>
    <t>1 Btu = 0.293 watt hr</t>
  </si>
  <si>
    <t>Energy</t>
  </si>
  <si>
    <t>Btu/hr</t>
  </si>
  <si>
    <t>Btu/s</t>
  </si>
  <si>
    <t>HP</t>
  </si>
  <si>
    <t>kW</t>
  </si>
  <si>
    <t>MBH</t>
  </si>
  <si>
    <t>Therm</t>
  </si>
  <si>
    <t>W</t>
  </si>
  <si>
    <t>J/s</t>
  </si>
  <si>
    <t>1 kW = 3,412 Btu/hr</t>
  </si>
  <si>
    <t>1 MBH = 1,000 Btu/hr</t>
  </si>
  <si>
    <t>1 Therm = 100,000 Btu/hr</t>
  </si>
  <si>
    <t>Watts</t>
  </si>
  <si>
    <t>ft lb/s</t>
  </si>
  <si>
    <t>ft lb/m</t>
  </si>
  <si>
    <r>
      <t>gal. H</t>
    </r>
    <r>
      <rPr>
        <vertAlign val="subscript"/>
        <sz val="10"/>
        <rFont val="Arial"/>
        <family val="2"/>
      </rPr>
      <t>2</t>
    </r>
    <r>
      <rPr>
        <sz val="10"/>
        <rFont val="Arial"/>
        <family val="2"/>
      </rPr>
      <t>O</t>
    </r>
  </si>
  <si>
    <r>
      <t>lbs. H</t>
    </r>
    <r>
      <rPr>
        <vertAlign val="subscript"/>
        <sz val="10"/>
        <rFont val="Arial"/>
        <family val="2"/>
      </rPr>
      <t>2</t>
    </r>
    <r>
      <rPr>
        <sz val="10"/>
        <rFont val="Arial"/>
        <family val="2"/>
      </rPr>
      <t>O</t>
    </r>
  </si>
  <si>
    <t>Conversion Spreadsheets</t>
  </si>
  <si>
    <t>www.HVACnotebook.com</t>
  </si>
  <si>
    <t>User Guide</t>
  </si>
  <si>
    <t>1)</t>
  </si>
  <si>
    <t>2)</t>
  </si>
  <si>
    <t>3)</t>
  </si>
  <si>
    <t>4)</t>
  </si>
  <si>
    <t>Disclaimer</t>
  </si>
  <si>
    <t>The intend of these spreadsheets is to reduce tedious &amp; repetitive calculations.  It is assumed that the user is familiar with the formulas applied and can perform these calculations on his/her own without these spreadsheets.  User is responsible to verify the results and correctly use the results from these spreadsheets.  We are NOT responsible for any errors in these spreadsheets.</t>
  </si>
  <si>
    <t xml:space="preserve">We make no guarantees about the quality of our Spreadsheets and is not responsible for any claims, losses, damages, costs, or other obligations arising from use of our products or materials from our website. We also denies any responsibility for the quality and accuracy of the information presented on our spreadsheets and/or website.  Our website and all materials contained on it are distributed and transmitted “as is” without warranties of any kind, either express or implied.  </t>
  </si>
  <si>
    <t>We are not responsible for any special, indirect, incidental or consequential damages (regardless or whether they were foreseeable) that may arise from the use of, or the inability to use, our products and/or the materials contained on our website.</t>
  </si>
  <si>
    <t>Any material downloaded from our website is done at your own discretion and risk. You will be solely responsible for any damage to your computer system or other device or loss of data that results from the download or use of any such material.</t>
  </si>
  <si>
    <t>Visit our website at www.HVACnotebook.com for more products.</t>
  </si>
  <si>
    <t>1 kg = 1,000 grams</t>
  </si>
  <si>
    <t>grams</t>
  </si>
  <si>
    <t>1 lb = 453.6 grams</t>
  </si>
  <si>
    <t>1 gram = 0.0353 oz</t>
  </si>
  <si>
    <t>1 oz = 28.35 grams</t>
  </si>
  <si>
    <t>User Guide &amp; Disclaimer</t>
  </si>
  <si>
    <t>1 in. water = 0.0739 in mercury</t>
  </si>
  <si>
    <t>1 gallon = 4 quarts</t>
  </si>
  <si>
    <t>gallons</t>
  </si>
  <si>
    <t>quarts</t>
  </si>
  <si>
    <t>pints</t>
  </si>
  <si>
    <t>cups</t>
  </si>
  <si>
    <t>1 cup = 8 fluid ounce</t>
  </si>
  <si>
    <t>1 gallon = 8 pints</t>
  </si>
  <si>
    <t>1 gallon = 0.13368 cu. ft.</t>
  </si>
  <si>
    <t>1 cu. ft. = 7.481 gallons</t>
  </si>
  <si>
    <t>1 quart = 2 pints</t>
  </si>
  <si>
    <t>1 cu. yard = 202 gallons (US)</t>
  </si>
  <si>
    <t>1 cu. cm = 0.061 cu. inches</t>
  </si>
  <si>
    <t>Inches</t>
  </si>
  <si>
    <t>Feet</t>
  </si>
  <si>
    <t>Feet-Inches</t>
  </si>
  <si>
    <t>Back To MAIN SHEET</t>
  </si>
  <si>
    <t>Please read the below Disclaimer prior to use.  Click the above "Back To MAIN SHEET" button to start using our spreadsheets.</t>
  </si>
  <si>
    <t>Celsius &lt;=&gt; Fahrenheit</t>
  </si>
  <si>
    <t>feet &lt;=&gt; yard</t>
  </si>
  <si>
    <t>inch &lt;=&gt; cm</t>
  </si>
  <si>
    <t>cm = inches / 2.54</t>
  </si>
  <si>
    <t>inch &lt;=&gt; mm</t>
  </si>
  <si>
    <t>mm = inches / 25.4</t>
  </si>
  <si>
    <t>feet = yard / 3</t>
  </si>
  <si>
    <t>feet &lt;=&gt; meter</t>
  </si>
  <si>
    <t>1 meter = 3.28 feet</t>
  </si>
  <si>
    <t>mile &lt;=&gt; feet</t>
  </si>
  <si>
    <t>feet = miles / 5,280</t>
  </si>
  <si>
    <t>mile &lt;=&gt; yard</t>
  </si>
  <si>
    <t>yards = miles / 1,760</t>
  </si>
  <si>
    <t>mile &lt;=&gt; meters</t>
  </si>
  <si>
    <t>km &lt;=&gt; feet</t>
  </si>
  <si>
    <t>km &lt;=&gt; yard</t>
  </si>
  <si>
    <t>km &lt;=&gt; mile</t>
  </si>
  <si>
    <t>yard &lt;=&gt; meter</t>
  </si>
  <si>
    <t>mm &lt;=&gt; m</t>
  </si>
  <si>
    <t>Units</t>
  </si>
  <si>
    <t>Celsius &lt;=&gt; Kevin</t>
  </si>
  <si>
    <t>Kevin = Celsius + 273.15</t>
  </si>
  <si>
    <t>Fahrenheit &lt;=&gt; Kevin</t>
  </si>
  <si>
    <t>Kevin = (Fahrenheit - 32) * (5/9) + 273.15</t>
  </si>
  <si>
    <t>Rankine &lt;=&gt; Kevin</t>
  </si>
  <si>
    <t>Kevin = (5/9) x Rankine</t>
  </si>
  <si>
    <t>gallons &lt;=&gt; quarts</t>
  </si>
  <si>
    <t>gallons &lt;=&gt; pints</t>
  </si>
  <si>
    <t>quarts &lt;=&gt; pints</t>
  </si>
  <si>
    <t>fluid oz &lt;=&gt; tablespoons</t>
  </si>
  <si>
    <t>fluid oz &lt;=&gt; cup</t>
  </si>
  <si>
    <t>gallons &lt;=&gt; cu. ft.</t>
  </si>
  <si>
    <t>fpm &lt;=&gt; mph</t>
  </si>
  <si>
    <t>1 mph = 87.7 fpm</t>
  </si>
  <si>
    <t>mph &lt;=&gt; fps</t>
  </si>
  <si>
    <t>1 fps = 0.682 mph</t>
  </si>
  <si>
    <t>mps &lt;=&gt; mph</t>
  </si>
  <si>
    <t>1 mph = 0.447 meter/sec</t>
  </si>
  <si>
    <t>fps &lt;=&gt; m/s</t>
  </si>
  <si>
    <t>1 m/s = 3.2808 ft/s</t>
  </si>
  <si>
    <t>km/hr &lt;=&gt; m/s</t>
  </si>
  <si>
    <t>1 m/s = 3.5997 km/hr</t>
  </si>
  <si>
    <t>fpm = meter/sec / 196.85</t>
  </si>
  <si>
    <t>km/hr &lt;=&gt; fpm</t>
  </si>
  <si>
    <t>km/hr &lt;=&gt; mph</t>
  </si>
  <si>
    <t>knot &lt;=&gt; km/h</t>
  </si>
  <si>
    <t>knot &lt;=&gt; mph</t>
  </si>
  <si>
    <t>knot &lt;=&gt; nau. m/h</t>
  </si>
  <si>
    <t>meter/sec &lt;=&gt; fpm</t>
  </si>
  <si>
    <t>atm &lt;=&gt; psia</t>
  </si>
  <si>
    <t>psia = atm / 14.7</t>
  </si>
  <si>
    <t>atm &lt;=&gt; psf</t>
  </si>
  <si>
    <r>
      <t>1 atm = 2,116.2 lb/ft</t>
    </r>
    <r>
      <rPr>
        <vertAlign val="superscript"/>
        <sz val="10"/>
        <rFont val="Arial"/>
        <family val="2"/>
      </rPr>
      <t>2</t>
    </r>
  </si>
  <si>
    <t>lb/ft = atm / 2,116.2</t>
  </si>
  <si>
    <t>atm &lt;=&gt; in. Hg</t>
  </si>
  <si>
    <t>in. Hg = atm / 29.92</t>
  </si>
  <si>
    <t>in. water &lt;=&gt; in. mercury</t>
  </si>
  <si>
    <t>1 in. mercury = 13.53 in. water</t>
  </si>
  <si>
    <t>in. Hg &lt;=&gt; in. water</t>
  </si>
  <si>
    <t>1 in. Hg = 12.8 in water</t>
  </si>
  <si>
    <t>1 in. water = 0.0781 in. Hg</t>
  </si>
  <si>
    <r>
      <t>ft. H</t>
    </r>
    <r>
      <rPr>
        <b/>
        <vertAlign val="subscript"/>
        <sz val="10"/>
        <rFont val="Arial"/>
        <family val="2"/>
      </rPr>
      <t>2</t>
    </r>
    <r>
      <rPr>
        <b/>
        <sz val="10"/>
        <rFont val="Arial"/>
        <family val="2"/>
      </rPr>
      <t>O &lt;=&gt; psi</t>
    </r>
  </si>
  <si>
    <r>
      <t>1 ft.H</t>
    </r>
    <r>
      <rPr>
        <vertAlign val="subscript"/>
        <sz val="10"/>
        <rFont val="Arial"/>
        <family val="2"/>
      </rPr>
      <t>2</t>
    </r>
    <r>
      <rPr>
        <sz val="10"/>
        <rFont val="Arial"/>
        <family val="2"/>
      </rPr>
      <t>O = 0.4335 psi</t>
    </r>
  </si>
  <si>
    <r>
      <t>1 psi = 2.31 ft. H</t>
    </r>
    <r>
      <rPr>
        <vertAlign val="subscript"/>
        <sz val="10"/>
        <rFont val="Arial"/>
        <family val="2"/>
      </rPr>
      <t>2</t>
    </r>
    <r>
      <rPr>
        <sz val="10"/>
        <rFont val="Arial"/>
        <family val="2"/>
      </rPr>
      <t>0</t>
    </r>
  </si>
  <si>
    <r>
      <t>ft. H</t>
    </r>
    <r>
      <rPr>
        <b/>
        <vertAlign val="subscript"/>
        <sz val="10"/>
        <rFont val="Arial"/>
        <family val="2"/>
      </rPr>
      <t>2</t>
    </r>
    <r>
      <rPr>
        <b/>
        <sz val="10"/>
        <rFont val="Arial"/>
        <family val="2"/>
      </rPr>
      <t>O &lt;=&gt; psf</t>
    </r>
  </si>
  <si>
    <r>
      <t>1 ft.H</t>
    </r>
    <r>
      <rPr>
        <vertAlign val="subscript"/>
        <sz val="10"/>
        <rFont val="Arial"/>
        <family val="2"/>
      </rPr>
      <t>2</t>
    </r>
    <r>
      <rPr>
        <sz val="10"/>
        <rFont val="Arial"/>
        <family val="2"/>
      </rPr>
      <t>O = 62.43 lbs./sq.ft.</t>
    </r>
  </si>
  <si>
    <r>
      <t>psf = ft. H</t>
    </r>
    <r>
      <rPr>
        <vertAlign val="subscript"/>
        <sz val="10"/>
        <rFont val="Arial"/>
        <family val="2"/>
      </rPr>
      <t>2</t>
    </r>
    <r>
      <rPr>
        <sz val="10"/>
        <rFont val="Arial"/>
        <family val="2"/>
      </rPr>
      <t>0 / 62.43</t>
    </r>
  </si>
  <si>
    <t>mm Hg &lt;=&gt; psi</t>
  </si>
  <si>
    <r>
      <t>1 mm Hg = 0.01934 lb/in</t>
    </r>
    <r>
      <rPr>
        <vertAlign val="superscript"/>
        <sz val="10"/>
        <rFont val="Arial"/>
        <family val="2"/>
      </rPr>
      <t>2</t>
    </r>
  </si>
  <si>
    <t>1 lb/in2 = 51.71 mm Hg</t>
  </si>
  <si>
    <t>kg &lt;=&gt; grams</t>
  </si>
  <si>
    <t>kg &lt;=&gt; lbs</t>
  </si>
  <si>
    <t>lb &lt;=&gt; oz</t>
  </si>
  <si>
    <t>lb &lt;=&gt; grams</t>
  </si>
  <si>
    <t>oz &lt;=&gt; grams</t>
  </si>
  <si>
    <t>Ton &lt;=&gt; lbs</t>
  </si>
  <si>
    <t>Ton &lt;=&gt; kg</t>
  </si>
  <si>
    <t>gallon &lt;=&gt; lbs</t>
  </si>
  <si>
    <t>slug &lt;=&gt; kg</t>
  </si>
  <si>
    <r>
      <t>1 gal. H</t>
    </r>
    <r>
      <rPr>
        <vertAlign val="subscript"/>
        <sz val="10"/>
        <rFont val="Arial"/>
        <family val="2"/>
      </rPr>
      <t>2</t>
    </r>
    <r>
      <rPr>
        <sz val="10"/>
        <rFont val="Arial"/>
        <family val="2"/>
      </rPr>
      <t>O = 8.33 lbs. H</t>
    </r>
    <r>
      <rPr>
        <vertAlign val="subscript"/>
        <sz val="10"/>
        <rFont val="Arial"/>
        <family val="2"/>
      </rPr>
      <t>2</t>
    </r>
    <r>
      <rPr>
        <sz val="10"/>
        <rFont val="Arial"/>
        <family val="2"/>
      </rPr>
      <t>O</t>
    </r>
  </si>
  <si>
    <t>Btu &lt;=&gt; J</t>
  </si>
  <si>
    <t>Btu &lt;=&gt; watt hr</t>
  </si>
  <si>
    <t>cal &lt;=&gt; J</t>
  </si>
  <si>
    <t>ft lbf &lt;=&gt; J</t>
  </si>
  <si>
    <t>HP hr &lt;=&gt; kWh</t>
  </si>
  <si>
    <t>HP hr &lt;=&gt; J</t>
  </si>
  <si>
    <t>J &lt;=&gt; watt sec.</t>
  </si>
  <si>
    <t>J &lt;=&gt; Nm</t>
  </si>
  <si>
    <t>J &lt;=&gt; ft lb</t>
  </si>
  <si>
    <t>kcal &lt;=&gt; Btu</t>
  </si>
  <si>
    <t>KJ &lt;=&gt; Btu</t>
  </si>
  <si>
    <t>kWh &lt;=&gt; J</t>
  </si>
  <si>
    <t>kWh &lt;=&gt; Btu</t>
  </si>
  <si>
    <t>Btu/hr &lt;=&gt; MBH</t>
  </si>
  <si>
    <t>Btu/hr &lt;=&gt; W</t>
  </si>
  <si>
    <t>1 W = 3.413 Btu/hr</t>
  </si>
  <si>
    <t>Btu/s &lt;=&gt; W</t>
  </si>
  <si>
    <t>HP &lt;=&gt; kW</t>
  </si>
  <si>
    <t>HP &lt;=&gt; ft lb/s</t>
  </si>
  <si>
    <t>HP &lt;=&gt; ft lb/m</t>
  </si>
  <si>
    <t>kW &lt;=&gt; W</t>
  </si>
  <si>
    <t>kW &lt;=&gt; Btu/hr</t>
  </si>
  <si>
    <t>Therm &lt;=&gt; Btu/hr</t>
  </si>
  <si>
    <t>W &lt;=&gt; J/s</t>
  </si>
  <si>
    <t>cu. yard &lt;=&gt; cu. Ft</t>
  </si>
  <si>
    <t>1 cu. yard = 1,616 Pints</t>
  </si>
  <si>
    <t>cu. yard &lt;=&gt; pints</t>
  </si>
  <si>
    <t>cu. yard &lt;=&gt; cu. meters</t>
  </si>
  <si>
    <t>cu. yard &lt;=&gt; gallons</t>
  </si>
  <si>
    <t>cu. cm &lt;=&gt; cu. Inches</t>
  </si>
  <si>
    <t>cord &lt;=&gt; cu. Ft</t>
  </si>
  <si>
    <r>
      <t>1 Gallon = 0.002228 ft</t>
    </r>
    <r>
      <rPr>
        <vertAlign val="superscript"/>
        <sz val="10"/>
        <rFont val="Arial"/>
        <family val="2"/>
      </rPr>
      <t>3</t>
    </r>
    <r>
      <rPr>
        <sz val="10"/>
        <rFont val="Arial"/>
        <family val="2"/>
      </rPr>
      <t>/sec</t>
    </r>
  </si>
  <si>
    <r>
      <t>1 Gallon = 0.1337 ft</t>
    </r>
    <r>
      <rPr>
        <vertAlign val="superscript"/>
        <sz val="10"/>
        <rFont val="Arial"/>
        <family val="2"/>
      </rPr>
      <t>3</t>
    </r>
    <r>
      <rPr>
        <sz val="10"/>
        <rFont val="Arial"/>
        <family val="2"/>
      </rPr>
      <t>/min</t>
    </r>
  </si>
  <si>
    <t>League &lt;=&gt; miles</t>
  </si>
  <si>
    <t>mach &lt;=&gt; mph</t>
  </si>
  <si>
    <t>mach &lt;=&gt; km/hr</t>
  </si>
  <si>
    <t>meter/sec &lt;=&gt; km/hr</t>
  </si>
  <si>
    <t>meter/sec &lt;=&gt; ft/min</t>
  </si>
  <si>
    <t>1 pint = 0.5 quart</t>
  </si>
  <si>
    <r>
      <t>1 lb/ft</t>
    </r>
    <r>
      <rPr>
        <vertAlign val="superscript"/>
        <sz val="10"/>
        <rFont val="Arial"/>
        <family val="2"/>
      </rPr>
      <t>2</t>
    </r>
    <r>
      <rPr>
        <sz val="10"/>
        <rFont val="Arial"/>
        <family val="2"/>
      </rPr>
      <t xml:space="preserve"> = 47.88 N/m</t>
    </r>
    <r>
      <rPr>
        <vertAlign val="superscript"/>
        <sz val="10"/>
        <rFont val="Arial"/>
        <family val="2"/>
      </rPr>
      <t>2</t>
    </r>
  </si>
  <si>
    <t>mm Hg &lt;=&gt; torr</t>
  </si>
  <si>
    <t>1 lb = 0.454 kg</t>
  </si>
  <si>
    <r>
      <t>lb/ft</t>
    </r>
    <r>
      <rPr>
        <b/>
        <vertAlign val="superscript"/>
        <sz val="10"/>
        <rFont val="Arial"/>
        <family val="2"/>
      </rPr>
      <t>2</t>
    </r>
    <r>
      <rPr>
        <b/>
        <sz val="10"/>
        <rFont val="Arial"/>
        <family val="2"/>
      </rPr>
      <t xml:space="preserve"> &lt;=&gt; N/m</t>
    </r>
    <r>
      <rPr>
        <b/>
        <vertAlign val="superscript"/>
        <sz val="10"/>
        <rFont val="Arial"/>
        <family val="2"/>
      </rPr>
      <t>2</t>
    </r>
  </si>
  <si>
    <r>
      <t>1 N/m</t>
    </r>
    <r>
      <rPr>
        <vertAlign val="superscript"/>
        <sz val="10"/>
        <rFont val="Arial"/>
        <family val="2"/>
      </rPr>
      <t>2</t>
    </r>
    <r>
      <rPr>
        <sz val="10"/>
        <rFont val="Arial"/>
        <family val="2"/>
      </rPr>
      <t xml:space="preserve"> = lb/ft</t>
    </r>
    <r>
      <rPr>
        <vertAlign val="superscript"/>
        <sz val="10"/>
        <rFont val="Arial"/>
        <family val="2"/>
      </rPr>
      <t>2</t>
    </r>
    <r>
      <rPr>
        <sz val="10"/>
        <rFont val="Arial"/>
        <family val="2"/>
      </rPr>
      <t xml:space="preserve"> / 47.88</t>
    </r>
  </si>
  <si>
    <r>
      <t>N/m</t>
    </r>
    <r>
      <rPr>
        <vertAlign val="superscript"/>
        <sz val="10"/>
        <rFont val="Arial"/>
        <family val="2"/>
      </rPr>
      <t>2</t>
    </r>
  </si>
  <si>
    <t>1 m = 1,000 mm</t>
  </si>
  <si>
    <t>1 mm = 0.001 m</t>
  </si>
  <si>
    <t>1 km = 1,000 m</t>
  </si>
  <si>
    <t>km &lt;=&gt; m</t>
  </si>
  <si>
    <t>1 m = 0.001 km</t>
  </si>
  <si>
    <t>1 meter = 1.09361 yard</t>
  </si>
  <si>
    <r>
      <t xml:space="preserve">0 °C=&gt; 32 </t>
    </r>
    <r>
      <rPr>
        <vertAlign val="superscript"/>
        <sz val="10"/>
        <rFont val="Arial"/>
        <family val="2"/>
      </rPr>
      <t>o</t>
    </r>
    <r>
      <rPr>
        <sz val="10"/>
        <rFont val="Arial"/>
        <family val="2"/>
      </rPr>
      <t>F</t>
    </r>
  </si>
  <si>
    <r>
      <t xml:space="preserve">0 °C =&gt; 273.16 </t>
    </r>
    <r>
      <rPr>
        <vertAlign val="superscript"/>
        <sz val="10"/>
        <rFont val="Arial"/>
        <family val="2"/>
      </rPr>
      <t>o</t>
    </r>
    <r>
      <rPr>
        <sz val="10"/>
        <rFont val="Arial"/>
        <family val="2"/>
      </rPr>
      <t>K</t>
    </r>
  </si>
  <si>
    <r>
      <t xml:space="preserve">0 °C =&gt; 491.69 </t>
    </r>
    <r>
      <rPr>
        <vertAlign val="superscript"/>
        <sz val="10"/>
        <rFont val="Arial"/>
        <family val="2"/>
      </rPr>
      <t>o</t>
    </r>
    <r>
      <rPr>
        <sz val="10"/>
        <rFont val="Arial"/>
        <family val="2"/>
      </rPr>
      <t>R</t>
    </r>
  </si>
  <si>
    <r>
      <t xml:space="preserve">1° C =&gt; 1.8 </t>
    </r>
    <r>
      <rPr>
        <vertAlign val="superscript"/>
        <sz val="10"/>
        <rFont val="Arial"/>
        <family val="2"/>
      </rPr>
      <t>o</t>
    </r>
    <r>
      <rPr>
        <sz val="10"/>
        <rFont val="Arial"/>
        <family val="2"/>
      </rPr>
      <t>F</t>
    </r>
  </si>
  <si>
    <r>
      <t xml:space="preserve">1 °F =&gt; 0.555 </t>
    </r>
    <r>
      <rPr>
        <vertAlign val="superscript"/>
        <sz val="10"/>
        <rFont val="Arial"/>
        <family val="2"/>
      </rPr>
      <t>o</t>
    </r>
    <r>
      <rPr>
        <sz val="10"/>
        <rFont val="Arial"/>
        <family val="2"/>
      </rPr>
      <t>C</t>
    </r>
  </si>
  <si>
    <r>
      <t>1 ft</t>
    </r>
    <r>
      <rPr>
        <vertAlign val="superscript"/>
        <sz val="10"/>
        <rFont val="Arial"/>
        <family val="2"/>
      </rPr>
      <t>3</t>
    </r>
    <r>
      <rPr>
        <sz val="10"/>
        <rFont val="Arial"/>
        <family val="2"/>
      </rPr>
      <t>/sec = 448.9 gal./min</t>
    </r>
  </si>
  <si>
    <t>1 ft/min = 0.00508 meter/sec</t>
  </si>
  <si>
    <t>1 torr = 1 mm Hg</t>
  </si>
  <si>
    <t>1 gram = 0.001 kg</t>
  </si>
  <si>
    <t>1 lb = 0.0005 ton</t>
  </si>
  <si>
    <t>1 kW = 1.341 HP</t>
  </si>
  <si>
    <t>1 J/s = 1 W</t>
  </si>
  <si>
    <t>1 Watt = 0.001 kW</t>
  </si>
  <si>
    <t>US Units vs. Metric Units</t>
  </si>
  <si>
    <t>1 foot = 0.348 meters</t>
  </si>
  <si>
    <t>meters</t>
  </si>
  <si>
    <t>1 meter = 2.873 feet</t>
  </si>
  <si>
    <t>gallons &lt;=&gt; liters</t>
  </si>
  <si>
    <t>1 gallon = 3.785 liters</t>
  </si>
  <si>
    <t>liters</t>
  </si>
  <si>
    <t>1 liter = 0.264  gallons</t>
  </si>
  <si>
    <t>sq. ft. &lt;=&gt; sq. meter</t>
  </si>
  <si>
    <t>1 sq. ft = 0.0929 sq. meter</t>
  </si>
  <si>
    <t>sq. ft.</t>
  </si>
  <si>
    <t>sq. meter</t>
  </si>
  <si>
    <t>1 sq. meter = 10.764 sq. ft.</t>
  </si>
  <si>
    <t>GPM &lt;=&gt; Liter per sec.</t>
  </si>
  <si>
    <t>1 GPM = 0.063 Liter per sec</t>
  </si>
  <si>
    <t>GPM</t>
  </si>
  <si>
    <t>Liter/sec</t>
  </si>
  <si>
    <t>1 Liter per sec = GPM</t>
  </si>
  <si>
    <t>psi &lt;=&gt; kPa</t>
  </si>
  <si>
    <t>1 psi = 6.8948 kPa</t>
  </si>
  <si>
    <t>kPa</t>
  </si>
  <si>
    <t>1 kPa = 0.145 psi</t>
  </si>
  <si>
    <t>fpm &lt;=&gt; mm/s</t>
  </si>
  <si>
    <t>1 fpm = 5.08 mm/s</t>
  </si>
  <si>
    <t>fpm</t>
  </si>
  <si>
    <t>mm/s</t>
  </si>
  <si>
    <t>1 mm/s = 0.1968 fpm</t>
  </si>
  <si>
    <t>cu. ft. &lt;=&gt; cu. meter</t>
  </si>
  <si>
    <t>1 cu. ft. = 0.028 cu. meter</t>
  </si>
  <si>
    <t>1 cu. meter = 35.71 cu. ft.</t>
  </si>
  <si>
    <t>cu. ft./min &lt;=&gt; L/min</t>
  </si>
  <si>
    <t>1 cu. ft/min = 28.32 L/min</t>
  </si>
  <si>
    <t>cu. ft/min</t>
  </si>
  <si>
    <t>L/min</t>
  </si>
  <si>
    <t>1 L/min = 0.0353 cu.ft/min</t>
  </si>
  <si>
    <t>US vs. Metric</t>
  </si>
  <si>
    <t>Cell With Auto-Calculated Result</t>
  </si>
  <si>
    <t>Cell Only Available in Full Version</t>
  </si>
  <si>
    <t>Simple User Interface</t>
  </si>
  <si>
    <t>Click On Any Yellow Cells And Enter (Replace With) You Value
(Replace Sample Data)</t>
  </si>
  <si>
    <t>v.5.4</t>
  </si>
  <si>
    <t>This is a FREE Sample Version.</t>
  </si>
  <si>
    <t>To use all features, get the Full Version of "G5 - Unit Conversions.xlsx"</t>
  </si>
  <si>
    <r>
      <t xml:space="preserve">               UNIT CONVERSIONS </t>
    </r>
    <r>
      <rPr>
        <vertAlign val="superscript"/>
        <sz val="16"/>
        <rFont val="Arial"/>
        <family val="2"/>
      </rPr>
      <t>(FREE SAMPLE VERSION)</t>
    </r>
  </si>
  <si>
    <t>Visit www.HVACnotebook.com for more spreadsheets.</t>
  </si>
  <si>
    <t>sq. ft. &lt;=&gt; sq. in.</t>
  </si>
  <si>
    <t>1 sq. ft. = 144 sq. in.</t>
  </si>
  <si>
    <t>sq. in.</t>
  </si>
  <si>
    <t>1 sq. in = 0.00694 sq. ft.</t>
  </si>
  <si>
    <t>1 sq. ft. = 0.0929 sq. meters</t>
  </si>
  <si>
    <t>sq. meters</t>
  </si>
  <si>
    <t>sq. ft. &lt;=&gt; sq. cm</t>
  </si>
  <si>
    <t>1 sq. ft. = 929 sq. cm</t>
  </si>
  <si>
    <t>sq. cm</t>
  </si>
  <si>
    <t>1 sq cm = 0.001076 sq. ft.</t>
  </si>
  <si>
    <t>sq. ft. &lt;=&gt; sq. yards</t>
  </si>
  <si>
    <t>1 sq. ft. = 0.1111 sq. yards</t>
  </si>
  <si>
    <t>sq. ft</t>
  </si>
  <si>
    <t>sq. yards</t>
  </si>
  <si>
    <t>1 sq. yard = 9 sq. ft.</t>
  </si>
  <si>
    <t>AREA CONVERSIONS</t>
  </si>
  <si>
    <t>TIME &amp; DATE</t>
  </si>
  <si>
    <t>day &lt;=&gt; hours</t>
  </si>
  <si>
    <t>1 day = 24 hours</t>
  </si>
  <si>
    <t>day</t>
  </si>
  <si>
    <t>hours</t>
  </si>
  <si>
    <t>hours = day / 24</t>
  </si>
  <si>
    <t>day &lt;=&gt; minutes</t>
  </si>
  <si>
    <t>1 day = 1,440 minutes</t>
  </si>
  <si>
    <t>minutes</t>
  </si>
  <si>
    <t>hour &lt;=&gt; minutes</t>
  </si>
  <si>
    <t>1 hour = 60 minutes</t>
  </si>
  <si>
    <t>hour</t>
  </si>
  <si>
    <t>minutes &lt;=&gt; seconds</t>
  </si>
  <si>
    <t>1 minutes = 60 seconds</t>
  </si>
  <si>
    <t>seconds</t>
  </si>
  <si>
    <t>year &lt;=&gt; month</t>
  </si>
  <si>
    <t>1 year = 12 months</t>
  </si>
  <si>
    <t>year</t>
  </si>
  <si>
    <t>months</t>
  </si>
  <si>
    <t>years</t>
  </si>
  <si>
    <t>year &lt;=&gt; weeks</t>
  </si>
  <si>
    <t>1 year = 52 weeks</t>
  </si>
  <si>
    <t>weeks</t>
  </si>
  <si>
    <t>year &lt;=&gt; days</t>
  </si>
  <si>
    <t>1 year = 365.25 days</t>
  </si>
  <si>
    <t>Days</t>
  </si>
  <si>
    <t>Time &amp; Date</t>
  </si>
  <si>
    <t>Enter Inches</t>
  </si>
  <si>
    <t>Enter Feet &amp; Inches</t>
  </si>
  <si>
    <t>FEET &amp; INCHES CONVERSIONS</t>
  </si>
  <si>
    <t>Sample</t>
  </si>
  <si>
    <t>This is a FREE sample version where some cells are disabled.  Get the full version to use all features.</t>
  </si>
  <si>
    <t>Enter value in yellow cells.  Results will automatically be calculated in blue cells.</t>
  </si>
  <si>
    <t>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</si>
</sst>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000"/>
    <numFmt numFmtId="165" formatCode="0.00000"/>
    <numFmt numFmtId="166" formatCode="#,##0.0000"/>
    <numFmt numFmtId="167" formatCode="#,##0.0"/>
    <numFmt numFmtId="168" formatCode="#,##0.000"/>
    <numFmt numFmtId="169" formatCode="#,##0.00000"/>
    <numFmt numFmtId="170" formatCode="0.000"/>
    <numFmt numFmtId="171" formatCode="0.000000"/>
    <numFmt numFmtId="172" formatCode="0.0000000"/>
    <numFmt numFmtId="173" formatCode="0.0"/>
  </numFmts>
  <fonts count="37" x14ac:knownFonts="1">
    <font>
      <sz val="10"/>
      <name val="Arial"/>
    </font>
    <font>
      <sz val="10"/>
      <color theme="1"/>
      <name val="Arial"/>
      <family val="2"/>
    </font>
    <font>
      <b/>
      <sz val="10"/>
      <name val="Arial"/>
      <family val="2"/>
    </font>
    <font>
      <b/>
      <vertAlign val="superscript"/>
      <sz val="10"/>
      <name val="Arial"/>
      <family val="2"/>
    </font>
    <font>
      <b/>
      <vertAlign val="subscript"/>
      <sz val="10"/>
      <name val="Arial"/>
      <family val="2"/>
    </font>
    <font>
      <sz val="10"/>
      <name val="Arial"/>
      <family val="2"/>
    </font>
    <font>
      <b/>
      <sz val="15"/>
      <color theme="3"/>
      <name val="Calibri"/>
      <family val="2"/>
      <scheme val="minor"/>
    </font>
    <font>
      <u/>
      <sz val="10"/>
      <color theme="10"/>
      <name val="Arial"/>
      <family val="2"/>
    </font>
    <font>
      <b/>
      <sz val="10"/>
      <color indexed="12"/>
      <name val="Arial"/>
      <family val="2"/>
    </font>
    <font>
      <b/>
      <sz val="12"/>
      <color theme="10"/>
      <name val="Arial"/>
      <family val="2"/>
    </font>
    <font>
      <b/>
      <i/>
      <u/>
      <sz val="12"/>
      <color theme="1"/>
      <name val="Arial"/>
      <family val="2"/>
    </font>
    <font>
      <b/>
      <sz val="18"/>
      <color theme="1"/>
      <name val="Calibri"/>
      <family val="2"/>
      <scheme val="minor"/>
    </font>
    <font>
      <b/>
      <sz val="11"/>
      <color indexed="12"/>
      <name val="Arial"/>
      <family val="2"/>
    </font>
    <font>
      <sz val="10"/>
      <color theme="1"/>
      <name val="Calibri"/>
      <family val="2"/>
      <scheme val="minor"/>
    </font>
    <font>
      <sz val="11"/>
      <name val="Arial"/>
      <family val="2"/>
    </font>
    <font>
      <vertAlign val="subscript"/>
      <sz val="10"/>
      <name val="Arial"/>
      <family val="2"/>
    </font>
    <font>
      <vertAlign val="superscript"/>
      <sz val="10"/>
      <name val="Arial"/>
      <family val="2"/>
    </font>
    <font>
      <sz val="8"/>
      <name val="Arial"/>
      <family val="2"/>
    </font>
    <font>
      <b/>
      <sz val="18"/>
      <name val="Arial"/>
      <family val="2"/>
    </font>
    <font>
      <u/>
      <sz val="10"/>
      <color indexed="12"/>
      <name val="Arial"/>
      <family val="2"/>
    </font>
    <font>
      <u/>
      <sz val="16"/>
      <color indexed="12"/>
      <name val="Lucida Handwriting"/>
      <family val="4"/>
    </font>
    <font>
      <b/>
      <sz val="16"/>
      <color theme="3"/>
      <name val="Times New Roman"/>
      <family val="1"/>
    </font>
    <font>
      <sz val="11"/>
      <color theme="1"/>
      <name val="Calibri"/>
      <family val="2"/>
      <scheme val="minor"/>
    </font>
    <font>
      <b/>
      <sz val="13"/>
      <color theme="3"/>
      <name val="Calibri"/>
      <family val="2"/>
      <scheme val="minor"/>
    </font>
    <font>
      <u/>
      <sz val="16"/>
      <color theme="3"/>
      <name val="Copperplate Gothic Bold"/>
      <family val="2"/>
    </font>
    <font>
      <b/>
      <sz val="10"/>
      <color theme="0"/>
      <name val="Arial"/>
      <family val="2"/>
    </font>
    <font>
      <b/>
      <sz val="11"/>
      <name val="Arial"/>
      <family val="2"/>
    </font>
    <font>
      <b/>
      <sz val="11"/>
      <color theme="1"/>
      <name val="Arial"/>
      <family val="2"/>
    </font>
    <font>
      <sz val="11"/>
      <color theme="1"/>
      <name val="Arial"/>
      <family val="2"/>
    </font>
    <font>
      <b/>
      <sz val="11"/>
      <color theme="0"/>
      <name val="Arial"/>
      <family val="2"/>
    </font>
    <font>
      <sz val="15"/>
      <color theme="3"/>
      <name val="Calibri"/>
      <family val="2"/>
      <scheme val="minor"/>
    </font>
    <font>
      <sz val="10"/>
      <color indexed="12"/>
      <name val="Arial"/>
      <family val="2"/>
    </font>
    <font>
      <b/>
      <sz val="15"/>
      <color theme="3"/>
      <name val="Arial"/>
      <family val="2"/>
    </font>
    <font>
      <vertAlign val="superscript"/>
      <sz val="16"/>
      <name val="Arial"/>
      <family val="2"/>
    </font>
    <font>
      <i/>
      <sz val="10"/>
      <name val="Arial"/>
      <family val="2"/>
    </font>
    <font>
      <b/>
      <sz val="11"/>
      <color theme="10"/>
      <name val="Arial"/>
      <family val="2"/>
    </font>
    <font>
      <sz val="8"/>
      <color theme="1"/>
      <name val="Calibri"/>
      <family val="2"/>
      <scheme val="minor"/>
    </font>
  </fonts>
  <fills count="7">
    <fill>
      <patternFill patternType="none"/>
    </fill>
    <fill>
      <patternFill patternType="gray125"/>
    </fill>
    <fill>
      <patternFill patternType="solid">
        <fgColor rgb="FFFFFF99"/>
        <bgColor indexed="64"/>
      </patternFill>
    </fill>
    <fill>
      <gradientFill degree="90">
        <stop position="0">
          <color theme="0"/>
        </stop>
        <stop position="1">
          <color theme="0" tint="-0.25098422193060094"/>
        </stop>
      </gradientFill>
    </fill>
    <fill>
      <patternFill patternType="solid">
        <fgColor theme="0"/>
        <bgColor indexed="64"/>
      </patternFill>
    </fill>
    <fill>
      <patternFill patternType="solid">
        <fgColor theme="7" tint="-0.249977111117893"/>
        <bgColor indexed="64"/>
      </patternFill>
    </fill>
    <fill>
      <patternFill patternType="solid">
        <fgColor theme="8" tint="0.79998168889431442"/>
        <bgColor indexed="64"/>
      </patternFill>
    </fill>
  </fills>
  <borders count="84">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theme="0" tint="-0.14996795556505021"/>
      </left>
      <right style="thick">
        <color theme="0" tint="-0.499984740745262"/>
      </right>
      <top style="medium">
        <color theme="0" tint="-0.14993743705557422"/>
      </top>
      <bottom style="thick">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ck">
        <color theme="4"/>
      </top>
      <bottom style="thin">
        <color indexed="64"/>
      </bottom>
      <diagonal/>
    </border>
    <border>
      <left style="thin">
        <color indexed="64"/>
      </left>
      <right style="thin">
        <color indexed="64"/>
      </right>
      <top/>
      <bottom/>
      <diagonal/>
    </border>
    <border>
      <left/>
      <right/>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theme="0" tint="-0.14996795556505021"/>
      </left>
      <right/>
      <top style="medium">
        <color theme="0" tint="-0.14996795556505021"/>
      </top>
      <bottom style="thick">
        <color theme="0" tint="-0.499984740745262"/>
      </bottom>
      <diagonal/>
    </border>
    <border>
      <left/>
      <right/>
      <top style="medium">
        <color theme="0" tint="-0.14996795556505021"/>
      </top>
      <bottom style="thick">
        <color theme="0" tint="-0.499984740745262"/>
      </bottom>
      <diagonal/>
    </border>
    <border>
      <left/>
      <right style="thick">
        <color theme="0" tint="-0.499984740745262"/>
      </right>
      <top style="medium">
        <color theme="0" tint="-0.14996795556505021"/>
      </top>
      <bottom style="thick">
        <color theme="0" tint="-0.499984740745262"/>
      </bottom>
      <diagonal/>
    </border>
    <border>
      <left/>
      <right style="medium">
        <color theme="0" tint="-0.14996795556505021"/>
      </right>
      <top/>
      <bottom/>
      <diagonal/>
    </border>
    <border>
      <left style="medium">
        <color theme="0" tint="-0.14996795556505021"/>
      </left>
      <right style="thin">
        <color indexed="64"/>
      </right>
      <top style="medium">
        <color theme="0" tint="-0.14996795556505021"/>
      </top>
      <bottom style="thick">
        <color theme="0" tint="-0.499984740745262"/>
      </bottom>
      <diagonal/>
    </border>
    <border>
      <left style="thin">
        <color indexed="64"/>
      </left>
      <right style="thin">
        <color indexed="64"/>
      </right>
      <top style="medium">
        <color theme="0" tint="-0.14996795556505021"/>
      </top>
      <bottom style="thick">
        <color theme="0" tint="-0.499984740745262"/>
      </bottom>
      <diagonal/>
    </border>
    <border>
      <left style="thin">
        <color indexed="64"/>
      </left>
      <right style="thick">
        <color theme="0" tint="-0.499984740745262"/>
      </right>
      <top style="medium">
        <color theme="0" tint="-0.14996795556505021"/>
      </top>
      <bottom style="thick">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auto="1"/>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hair">
        <color auto="1"/>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s>
  <cellStyleXfs count="9">
    <xf numFmtId="0" fontId="0" fillId="0" borderId="0"/>
    <xf numFmtId="0" fontId="6" fillId="0" borderId="4" applyNumberFormat="0" applyFill="0" applyAlignment="0" applyProtection="0"/>
    <xf numFmtId="0" fontId="7" fillId="0" borderId="0" applyNumberFormat="0" applyFill="0" applyBorder="0" applyAlignment="0" applyProtection="0"/>
    <xf numFmtId="0" fontId="22" fillId="0" borderId="0"/>
    <xf numFmtId="0" fontId="19" fillId="0" borderId="0" applyNumberFormat="0" applyFill="0" applyBorder="0" applyAlignment="0" applyProtection="0">
      <alignment vertical="top"/>
      <protection locked="0"/>
    </xf>
    <xf numFmtId="0" fontId="23" fillId="0" borderId="17" applyNumberFormat="0" applyFill="0" applyAlignment="0" applyProtection="0"/>
    <xf numFmtId="0" fontId="5" fillId="0" borderId="0"/>
    <xf numFmtId="0" fontId="32" fillId="0" borderId="4" applyNumberFormat="0" applyFill="0" applyAlignment="0" applyProtection="0"/>
    <xf numFmtId="9" fontId="1" fillId="0" borderId="0" applyFont="0" applyFill="0" applyBorder="0" applyAlignment="0" applyProtection="0"/>
  </cellStyleXfs>
  <cellXfs count="258">
    <xf numFmtId="0" fontId="0" fillId="0" borderId="0" xfId="0"/>
    <xf numFmtId="0" fontId="7" fillId="0" borderId="0" xfId="2" applyAlignment="1">
      <alignment horizontal="right" vertical="top"/>
    </xf>
    <xf numFmtId="0" fontId="6" fillId="0" borderId="4" xfId="1" applyAlignment="1">
      <alignment horizontal="center" vertical="center"/>
    </xf>
    <xf numFmtId="0" fontId="6" fillId="0" borderId="0" xfId="1" applyBorder="1" applyAlignment="1">
      <alignment horizontal="center" vertical="center"/>
    </xf>
    <xf numFmtId="0" fontId="9" fillId="3" borderId="5" xfId="2" applyFont="1" applyFill="1" applyBorder="1" applyAlignment="1" applyProtection="1">
      <alignment horizontal="center" vertical="center" wrapText="1"/>
      <protection locked="0"/>
    </xf>
    <xf numFmtId="0" fontId="9" fillId="0" borderId="0" xfId="2" applyFont="1" applyAlignment="1">
      <alignment horizontal="center" vertical="center"/>
    </xf>
    <xf numFmtId="0" fontId="11" fillId="0" borderId="9" xfId="0" applyFont="1" applyFill="1" applyBorder="1" applyAlignment="1"/>
    <xf numFmtId="0" fontId="11" fillId="0" borderId="0" xfId="0" applyFont="1" applyFill="1" applyBorder="1" applyAlignment="1"/>
    <xf numFmtId="0" fontId="0" fillId="0" borderId="10" xfId="0" applyBorder="1"/>
    <xf numFmtId="0" fontId="0" fillId="0" borderId="9" xfId="0" applyBorder="1"/>
    <xf numFmtId="3" fontId="12" fillId="2" borderId="3" xfId="0" applyNumberFormat="1" applyFont="1" applyFill="1" applyBorder="1" applyAlignment="1" applyProtection="1">
      <alignment horizontal="center" vertical="center"/>
    </xf>
    <xf numFmtId="0" fontId="13" fillId="0" borderId="0" xfId="0" applyFont="1" applyFill="1" applyBorder="1" applyAlignment="1">
      <alignment horizontal="left" vertical="center" indent="1"/>
    </xf>
    <xf numFmtId="0" fontId="0" fillId="0" borderId="0" xfId="0" applyBorder="1"/>
    <xf numFmtId="0" fontId="0" fillId="0" borderId="11" xfId="0" applyBorder="1"/>
    <xf numFmtId="0" fontId="0" fillId="0" borderId="12" xfId="0" applyBorder="1"/>
    <xf numFmtId="0" fontId="0" fillId="0" borderId="13" xfId="0" applyBorder="1"/>
    <xf numFmtId="0" fontId="0" fillId="0" borderId="6" xfId="0" applyBorder="1"/>
    <xf numFmtId="0" fontId="0" fillId="0" borderId="8" xfId="0" applyBorder="1"/>
    <xf numFmtId="0" fontId="6" fillId="0" borderId="0" xfId="1" applyBorder="1" applyAlignment="1">
      <alignment vertical="center"/>
    </xf>
    <xf numFmtId="0" fontId="0" fillId="0" borderId="0" xfId="0" applyAlignment="1">
      <alignment horizontal="center"/>
    </xf>
    <xf numFmtId="0" fontId="2" fillId="0" borderId="0" xfId="0" quotePrefix="1" applyFont="1" applyFill="1" applyBorder="1" applyAlignment="1">
      <alignment horizontal="center" vertical="center"/>
    </xf>
    <xf numFmtId="14" fontId="17" fillId="0" borderId="0" xfId="0" applyNumberFormat="1" applyFont="1" applyAlignment="1">
      <alignment horizontal="right" vertical="top"/>
    </xf>
    <xf numFmtId="0" fontId="22" fillId="0" borderId="0" xfId="3" applyFill="1" applyProtection="1">
      <protection locked="0"/>
    </xf>
    <xf numFmtId="0" fontId="22" fillId="0" borderId="0" xfId="3" applyFill="1"/>
    <xf numFmtId="0" fontId="22" fillId="4" borderId="0" xfId="3" applyFill="1"/>
    <xf numFmtId="0" fontId="22" fillId="0" borderId="0" xfId="3"/>
    <xf numFmtId="0" fontId="22" fillId="0" borderId="18" xfId="3" applyFill="1" applyBorder="1"/>
    <xf numFmtId="0" fontId="22" fillId="0" borderId="20" xfId="3" applyFill="1" applyBorder="1"/>
    <xf numFmtId="0" fontId="22" fillId="0" borderId="21" xfId="3" applyFill="1" applyBorder="1"/>
    <xf numFmtId="0" fontId="14" fillId="0" borderId="0" xfId="3" applyFont="1" applyFill="1" applyBorder="1" applyAlignment="1">
      <alignment horizontal="center" vertical="top"/>
    </xf>
    <xf numFmtId="0" fontId="22" fillId="0" borderId="22" xfId="3" applyFill="1" applyBorder="1"/>
    <xf numFmtId="0" fontId="22" fillId="0" borderId="0" xfId="3" applyFill="1" applyBorder="1"/>
    <xf numFmtId="0" fontId="22" fillId="0" borderId="23" xfId="3" applyFill="1" applyBorder="1"/>
    <xf numFmtId="0" fontId="22" fillId="0" borderId="14" xfId="3" applyFill="1" applyBorder="1"/>
    <xf numFmtId="0" fontId="22" fillId="0" borderId="24" xfId="3" applyFill="1" applyBorder="1"/>
    <xf numFmtId="0" fontId="21" fillId="0" borderId="0" xfId="1" applyFont="1" applyBorder="1" applyAlignment="1">
      <alignment horizontal="center" vertical="top"/>
    </xf>
    <xf numFmtId="0" fontId="18" fillId="0" borderId="0" xfId="0" applyFont="1" applyAlignment="1">
      <alignment horizontal="center" vertical="center"/>
    </xf>
    <xf numFmtId="0" fontId="0" fillId="0" borderId="0" xfId="0" applyProtection="1">
      <protection locked="0"/>
    </xf>
    <xf numFmtId="3" fontId="28" fillId="0" borderId="25" xfId="0" quotePrefix="1" applyNumberFormat="1" applyFont="1" applyBorder="1" applyAlignment="1">
      <alignment horizontal="center" vertical="center"/>
    </xf>
    <xf numFmtId="3" fontId="12" fillId="2" borderId="29" xfId="0" applyNumberFormat="1" applyFont="1" applyFill="1" applyBorder="1" applyAlignment="1" applyProtection="1">
      <alignment horizontal="center" vertical="center"/>
      <protection locked="0"/>
    </xf>
    <xf numFmtId="3" fontId="12" fillId="2" borderId="30" xfId="0" applyNumberFormat="1" applyFont="1" applyFill="1" applyBorder="1" applyAlignment="1" applyProtection="1">
      <alignment horizontal="center" vertical="center"/>
      <protection locked="0"/>
    </xf>
    <xf numFmtId="0" fontId="0" fillId="0" borderId="0" xfId="0" applyProtection="1"/>
    <xf numFmtId="0" fontId="9" fillId="0" borderId="0" xfId="2" applyFont="1" applyAlignment="1" applyProtection="1">
      <alignment horizontal="center" vertical="center"/>
    </xf>
    <xf numFmtId="0" fontId="5" fillId="0" borderId="15" xfId="0" quotePrefix="1" applyFont="1" applyFill="1" applyBorder="1" applyAlignment="1">
      <alignment horizontal="left" vertical="center" indent="1"/>
    </xf>
    <xf numFmtId="0" fontId="5" fillId="0" borderId="16" xfId="0" quotePrefix="1" applyFont="1" applyFill="1" applyBorder="1" applyAlignment="1">
      <alignment horizontal="left" vertical="center" indent="1"/>
    </xf>
    <xf numFmtId="0" fontId="5" fillId="0" borderId="3" xfId="0" quotePrefix="1" applyFont="1" applyFill="1" applyBorder="1" applyAlignment="1">
      <alignment horizontal="left" vertical="center" indent="1"/>
    </xf>
    <xf numFmtId="0" fontId="30" fillId="0" borderId="4" xfId="1" applyFont="1" applyAlignment="1">
      <alignment horizontal="center" vertical="center"/>
    </xf>
    <xf numFmtId="0" fontId="22" fillId="0" borderId="0" xfId="3" applyProtection="1">
      <protection locked="0"/>
    </xf>
    <xf numFmtId="0" fontId="21" fillId="0" borderId="0" xfId="1" applyFont="1" applyBorder="1" applyAlignment="1">
      <alignment horizontal="center" vertical="center"/>
    </xf>
    <xf numFmtId="0" fontId="21" fillId="0" borderId="0" xfId="1" applyFont="1" applyBorder="1" applyAlignment="1">
      <alignment horizontal="center"/>
    </xf>
    <xf numFmtId="0" fontId="25" fillId="5" borderId="39" xfId="0" applyFont="1" applyFill="1" applyBorder="1" applyAlignment="1">
      <alignment horizontal="center" vertical="center"/>
    </xf>
    <xf numFmtId="0" fontId="5" fillId="0" borderId="41" xfId="0" quotePrefix="1" applyFont="1" applyFill="1" applyBorder="1" applyAlignment="1">
      <alignment horizontal="center" vertical="center"/>
    </xf>
    <xf numFmtId="0" fontId="0" fillId="0" borderId="7" xfId="0" applyBorder="1"/>
    <xf numFmtId="4" fontId="8" fillId="2" borderId="42" xfId="0" applyNumberFormat="1" applyFont="1" applyFill="1" applyBorder="1" applyAlignment="1" applyProtection="1">
      <alignment horizontal="center" vertical="center"/>
      <protection locked="0"/>
    </xf>
    <xf numFmtId="0" fontId="5" fillId="0" borderId="43" xfId="0" applyFont="1" applyBorder="1" applyAlignment="1">
      <alignment horizontal="left" vertical="center" indent="1"/>
    </xf>
    <xf numFmtId="0" fontId="5" fillId="0" borderId="44" xfId="0" quotePrefix="1" applyFont="1" applyFill="1" applyBorder="1" applyAlignment="1">
      <alignment horizontal="center" vertical="center"/>
    </xf>
    <xf numFmtId="0" fontId="5" fillId="0" borderId="46" xfId="0" applyFont="1" applyBorder="1" applyAlignment="1">
      <alignment horizontal="left" vertical="center" indent="1"/>
    </xf>
    <xf numFmtId="0" fontId="5" fillId="0" borderId="48" xfId="0" applyFont="1" applyBorder="1" applyAlignment="1">
      <alignment horizontal="center" vertical="center"/>
    </xf>
    <xf numFmtId="4" fontId="8" fillId="2" borderId="49" xfId="0" applyNumberFormat="1" applyFont="1" applyFill="1" applyBorder="1" applyAlignment="1" applyProtection="1">
      <alignment horizontal="center" vertical="center"/>
      <protection locked="0"/>
    </xf>
    <xf numFmtId="0" fontId="5" fillId="0" borderId="50" xfId="0" applyFont="1" applyBorder="1" applyAlignment="1">
      <alignment horizontal="left" vertical="center" indent="1"/>
    </xf>
    <xf numFmtId="0" fontId="5" fillId="0" borderId="51" xfId="0" quotePrefix="1" applyFont="1" applyFill="1" applyBorder="1" applyAlignment="1">
      <alignment horizontal="center" vertical="center"/>
    </xf>
    <xf numFmtId="0" fontId="5" fillId="0" borderId="53" xfId="0" applyFont="1" applyBorder="1" applyAlignment="1">
      <alignment horizontal="left" vertical="center" indent="1"/>
    </xf>
    <xf numFmtId="4" fontId="8" fillId="2" borderId="54" xfId="0" applyNumberFormat="1" applyFont="1" applyFill="1" applyBorder="1" applyAlignment="1" applyProtection="1">
      <alignment horizontal="center" vertical="center"/>
      <protection locked="0"/>
    </xf>
    <xf numFmtId="0" fontId="5" fillId="0" borderId="55" xfId="0" applyFont="1" applyBorder="1" applyAlignment="1">
      <alignment horizontal="left" vertical="center" indent="1"/>
    </xf>
    <xf numFmtId="0" fontId="5" fillId="0" borderId="56" xfId="0" quotePrefix="1" applyFont="1" applyFill="1" applyBorder="1" applyAlignment="1">
      <alignment horizontal="center" vertical="center"/>
    </xf>
    <xf numFmtId="0" fontId="5" fillId="0" borderId="58" xfId="0" applyFont="1" applyBorder="1" applyAlignment="1">
      <alignment horizontal="left" vertical="center" indent="1"/>
    </xf>
    <xf numFmtId="3" fontId="8" fillId="2" borderId="59" xfId="0" applyNumberFormat="1" applyFont="1" applyFill="1" applyBorder="1" applyAlignment="1" applyProtection="1">
      <alignment horizontal="center" vertical="center"/>
      <protection locked="0"/>
    </xf>
    <xf numFmtId="0" fontId="5" fillId="0" borderId="60" xfId="0" applyFont="1" applyBorder="1" applyAlignment="1">
      <alignment horizontal="left" vertical="center" indent="1"/>
    </xf>
    <xf numFmtId="0" fontId="5" fillId="0" borderId="61" xfId="0" quotePrefix="1" applyFont="1" applyFill="1" applyBorder="1" applyAlignment="1">
      <alignment horizontal="center" vertical="center"/>
    </xf>
    <xf numFmtId="0" fontId="5" fillId="0" borderId="63" xfId="0" applyFont="1" applyBorder="1" applyAlignment="1">
      <alignment horizontal="left" vertical="center" indent="1"/>
    </xf>
    <xf numFmtId="0" fontId="25" fillId="5" borderId="20" xfId="0" applyFont="1" applyFill="1" applyBorder="1" applyAlignment="1">
      <alignment horizontal="center" vertical="center"/>
    </xf>
    <xf numFmtId="0" fontId="25" fillId="5" borderId="38" xfId="0" applyFont="1" applyFill="1" applyBorder="1" applyAlignment="1">
      <alignment horizontal="center" vertical="center"/>
    </xf>
    <xf numFmtId="0" fontId="0" fillId="0" borderId="0" xfId="0" applyBorder="1" applyAlignment="1">
      <alignment vertical="top"/>
    </xf>
    <xf numFmtId="168" fontId="8" fillId="2" borderId="59" xfId="0" applyNumberFormat="1" applyFont="1" applyFill="1" applyBorder="1" applyAlignment="1" applyProtection="1">
      <alignment horizontal="center" vertical="center"/>
      <protection locked="0"/>
    </xf>
    <xf numFmtId="3" fontId="8" fillId="2" borderId="49" xfId="0" applyNumberFormat="1" applyFont="1" applyFill="1" applyBorder="1" applyAlignment="1" applyProtection="1">
      <alignment horizontal="center" vertical="center"/>
      <protection locked="0"/>
    </xf>
    <xf numFmtId="4" fontId="8" fillId="2" borderId="59" xfId="0" applyNumberFormat="1" applyFont="1" applyFill="1" applyBorder="1" applyAlignment="1" applyProtection="1">
      <alignment horizontal="center" vertical="center"/>
      <protection locked="0"/>
    </xf>
    <xf numFmtId="167" fontId="8" fillId="2" borderId="59" xfId="0" applyNumberFormat="1" applyFont="1" applyFill="1" applyBorder="1" applyAlignment="1" applyProtection="1">
      <alignment horizontal="center" vertical="center"/>
      <protection locked="0"/>
    </xf>
    <xf numFmtId="0" fontId="0" fillId="4" borderId="7" xfId="0" applyFill="1" applyBorder="1"/>
    <xf numFmtId="0" fontId="5" fillId="0" borderId="66" xfId="0" quotePrefix="1" applyFont="1" applyFill="1" applyBorder="1" applyAlignment="1">
      <alignment horizontal="center" vertical="center"/>
    </xf>
    <xf numFmtId="0" fontId="5" fillId="0" borderId="48" xfId="0" quotePrefix="1" applyFont="1" applyFill="1" applyBorder="1" applyAlignment="1">
      <alignment horizontal="center" vertical="center"/>
    </xf>
    <xf numFmtId="0" fontId="0" fillId="4" borderId="12" xfId="0" applyFill="1" applyBorder="1"/>
    <xf numFmtId="4" fontId="8" fillId="2" borderId="67" xfId="0" applyNumberFormat="1" applyFont="1" applyFill="1" applyBorder="1" applyAlignment="1" applyProtection="1">
      <alignment horizontal="center" vertical="center"/>
      <protection locked="0"/>
    </xf>
    <xf numFmtId="0" fontId="5" fillId="0" borderId="68" xfId="0" applyFont="1" applyBorder="1" applyAlignment="1">
      <alignment horizontal="left" vertical="center" indent="1"/>
    </xf>
    <xf numFmtId="0" fontId="5" fillId="0" borderId="69" xfId="0" quotePrefix="1" applyFont="1" applyFill="1" applyBorder="1" applyAlignment="1">
      <alignment horizontal="center" vertical="center"/>
    </xf>
    <xf numFmtId="0" fontId="5" fillId="0" borderId="71" xfId="0" applyFont="1" applyBorder="1" applyAlignment="1">
      <alignment horizontal="left" vertical="center" indent="1"/>
    </xf>
    <xf numFmtId="0" fontId="5" fillId="0" borderId="1" xfId="0" applyFont="1" applyBorder="1" applyAlignment="1">
      <alignment horizontal="center" vertical="center" wrapText="1"/>
    </xf>
    <xf numFmtId="0" fontId="5" fillId="0" borderId="2" xfId="0" quotePrefix="1" applyFont="1" applyBorder="1" applyAlignment="1">
      <alignment horizontal="center" vertical="center" wrapText="1"/>
    </xf>
    <xf numFmtId="0" fontId="5" fillId="0" borderId="0" xfId="0" applyFont="1"/>
    <xf numFmtId="0" fontId="5" fillId="0" borderId="7" xfId="0" applyFont="1" applyBorder="1"/>
    <xf numFmtId="4" fontId="31" fillId="2" borderId="42" xfId="0" applyNumberFormat="1" applyFont="1" applyFill="1" applyBorder="1" applyAlignment="1" applyProtection="1">
      <alignment horizontal="center" vertical="center"/>
      <protection locked="0"/>
    </xf>
    <xf numFmtId="0" fontId="5" fillId="0" borderId="12" xfId="0" applyFont="1" applyBorder="1"/>
    <xf numFmtId="4" fontId="31" fillId="2" borderId="49" xfId="0" applyNumberFormat="1" applyFont="1" applyFill="1" applyBorder="1" applyAlignment="1" applyProtection="1">
      <alignment horizontal="center" vertical="center"/>
      <protection locked="0"/>
    </xf>
    <xf numFmtId="167" fontId="8" fillId="2" borderId="42" xfId="0" applyNumberFormat="1" applyFont="1" applyFill="1" applyBorder="1" applyAlignment="1" applyProtection="1">
      <alignment horizontal="center" vertical="center"/>
      <protection locked="0"/>
    </xf>
    <xf numFmtId="167" fontId="8" fillId="2" borderId="49" xfId="0" applyNumberFormat="1" applyFont="1" applyFill="1" applyBorder="1" applyAlignment="1" applyProtection="1">
      <alignment horizontal="center" vertical="center"/>
      <protection locked="0"/>
    </xf>
    <xf numFmtId="167" fontId="8" fillId="2" borderId="54" xfId="0" applyNumberFormat="1" applyFont="1" applyFill="1" applyBorder="1" applyAlignment="1" applyProtection="1">
      <alignment horizontal="center" vertical="center"/>
      <protection locked="0"/>
    </xf>
    <xf numFmtId="0" fontId="2" fillId="0" borderId="12" xfId="0" quotePrefix="1" applyFont="1" applyFill="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0" xfId="6" applyProtection="1">
      <protection locked="0"/>
    </xf>
    <xf numFmtId="0" fontId="5" fillId="0" borderId="0" xfId="6"/>
    <xf numFmtId="0" fontId="21" fillId="0" borderId="0" xfId="1" applyFont="1" applyBorder="1" applyAlignment="1">
      <alignment vertical="center"/>
    </xf>
    <xf numFmtId="0" fontId="21" fillId="0" borderId="34" xfId="1" applyFont="1" applyBorder="1" applyAlignment="1">
      <alignment vertical="center"/>
    </xf>
    <xf numFmtId="0" fontId="25" fillId="5" borderId="64" xfId="6" applyFont="1" applyFill="1" applyBorder="1" applyAlignment="1">
      <alignment horizontal="center" vertical="center"/>
    </xf>
    <xf numFmtId="0" fontId="25" fillId="5" borderId="65" xfId="6" applyFont="1" applyFill="1" applyBorder="1" applyAlignment="1">
      <alignment horizontal="center" vertical="center"/>
    </xf>
    <xf numFmtId="0" fontId="5" fillId="0" borderId="41" xfId="6" quotePrefix="1" applyFont="1" applyFill="1" applyBorder="1" applyAlignment="1">
      <alignment horizontal="center" vertical="center"/>
    </xf>
    <xf numFmtId="0" fontId="5" fillId="0" borderId="7" xfId="6" applyBorder="1"/>
    <xf numFmtId="4" fontId="8" fillId="2" borderId="42" xfId="6" applyNumberFormat="1" applyFont="1" applyFill="1" applyBorder="1" applyAlignment="1" applyProtection="1">
      <alignment horizontal="center" vertical="center"/>
      <protection locked="0"/>
    </xf>
    <xf numFmtId="0" fontId="5" fillId="0" borderId="43" xfId="6" applyFont="1" applyBorder="1" applyAlignment="1">
      <alignment horizontal="left" vertical="center" indent="1"/>
    </xf>
    <xf numFmtId="0" fontId="5" fillId="0" borderId="44" xfId="6" quotePrefix="1" applyFont="1" applyFill="1" applyBorder="1" applyAlignment="1">
      <alignment horizontal="center" vertical="center"/>
    </xf>
    <xf numFmtId="0" fontId="5" fillId="0" borderId="46" xfId="6" applyFont="1" applyBorder="1" applyAlignment="1">
      <alignment horizontal="left" vertical="center" indent="1"/>
    </xf>
    <xf numFmtId="0" fontId="5" fillId="0" borderId="48" xfId="6" applyFont="1" applyBorder="1" applyAlignment="1">
      <alignment horizontal="center" vertical="center"/>
    </xf>
    <xf numFmtId="0" fontId="5" fillId="0" borderId="12" xfId="6" applyBorder="1"/>
    <xf numFmtId="4" fontId="8" fillId="2" borderId="49" xfId="6" applyNumberFormat="1" applyFont="1" applyFill="1" applyBorder="1" applyAlignment="1" applyProtection="1">
      <alignment horizontal="center" vertical="center"/>
      <protection locked="0"/>
    </xf>
    <xf numFmtId="0" fontId="5" fillId="0" borderId="50" xfId="6" applyFont="1" applyBorder="1" applyAlignment="1">
      <alignment horizontal="left" vertical="center" indent="1"/>
    </xf>
    <xf numFmtId="0" fontId="5" fillId="0" borderId="51" xfId="6" quotePrefix="1" applyFont="1" applyFill="1" applyBorder="1" applyAlignment="1">
      <alignment horizontal="center" vertical="center"/>
    </xf>
    <xf numFmtId="0" fontId="5" fillId="0" borderId="53" xfId="6" applyFont="1" applyBorder="1" applyAlignment="1">
      <alignment horizontal="left" vertical="center" indent="1"/>
    </xf>
    <xf numFmtId="167" fontId="8" fillId="2" borderId="49" xfId="6" applyNumberFormat="1" applyFont="1" applyFill="1" applyBorder="1" applyAlignment="1" applyProtection="1">
      <alignment horizontal="center" vertical="center"/>
      <protection locked="0"/>
    </xf>
    <xf numFmtId="0" fontId="5" fillId="0" borderId="0" xfId="6" applyBorder="1"/>
    <xf numFmtId="0" fontId="21" fillId="0" borderId="0" xfId="1" applyFont="1" applyBorder="1" applyAlignment="1">
      <alignment horizontal="center" vertical="top"/>
    </xf>
    <xf numFmtId="0" fontId="25" fillId="5" borderId="64" xfId="6" applyFont="1" applyFill="1" applyBorder="1" applyAlignment="1">
      <alignment horizontal="center" vertical="center"/>
    </xf>
    <xf numFmtId="0" fontId="25" fillId="5" borderId="65" xfId="6" applyFont="1" applyFill="1" applyBorder="1" applyAlignment="1">
      <alignment horizontal="center" vertical="center"/>
    </xf>
    <xf numFmtId="0" fontId="27" fillId="0" borderId="0" xfId="0" applyFont="1" applyBorder="1" applyAlignment="1">
      <alignment horizontal="center" vertical="center"/>
    </xf>
    <xf numFmtId="0" fontId="0" fillId="0" borderId="21" xfId="0" applyBorder="1"/>
    <xf numFmtId="0" fontId="0" fillId="0" borderId="22" xfId="0" applyBorder="1"/>
    <xf numFmtId="0" fontId="27" fillId="0" borderId="72" xfId="0" applyFont="1" applyBorder="1" applyAlignment="1">
      <alignment horizontal="center" vertical="center"/>
    </xf>
    <xf numFmtId="0" fontId="27" fillId="0" borderId="39" xfId="0" applyFont="1" applyBorder="1" applyAlignment="1">
      <alignment horizontal="center" vertical="center"/>
    </xf>
    <xf numFmtId="0" fontId="27" fillId="0" borderId="18" xfId="0" applyFont="1" applyBorder="1" applyAlignment="1">
      <alignment horizontal="center" vertical="center"/>
    </xf>
    <xf numFmtId="3" fontId="28" fillId="0" borderId="28" xfId="0" applyNumberFormat="1" applyFont="1"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28" fillId="0" borderId="30" xfId="0" applyFont="1" applyBorder="1" applyAlignment="1">
      <alignment horizontal="center" vertical="center"/>
    </xf>
    <xf numFmtId="3" fontId="12" fillId="2" borderId="26" xfId="0" applyNumberFormat="1" applyFont="1" applyFill="1" applyBorder="1" applyAlignment="1" applyProtection="1">
      <alignment horizontal="center" vertical="center"/>
      <protection locked="0"/>
    </xf>
    <xf numFmtId="3" fontId="12" fillId="2" borderId="27" xfId="0" applyNumberFormat="1" applyFont="1" applyFill="1" applyBorder="1" applyAlignment="1" applyProtection="1">
      <alignment horizontal="center" vertical="center"/>
      <protection locked="0"/>
    </xf>
    <xf numFmtId="3" fontId="28" fillId="0" borderId="74" xfId="0" quotePrefix="1" applyNumberFormat="1" applyFont="1" applyBorder="1" applyAlignment="1">
      <alignment horizontal="center" vertical="center"/>
    </xf>
    <xf numFmtId="3" fontId="12" fillId="2" borderId="76" xfId="0" applyNumberFormat="1" applyFont="1" applyFill="1" applyBorder="1" applyAlignment="1" applyProtection="1">
      <alignment horizontal="center" vertical="center"/>
      <protection locked="0"/>
    </xf>
    <xf numFmtId="3" fontId="28" fillId="0" borderId="77" xfId="0" applyNumberFormat="1" applyFont="1" applyBorder="1" applyAlignment="1">
      <alignment horizontal="center" vertical="center"/>
    </xf>
    <xf numFmtId="3" fontId="28" fillId="0" borderId="78" xfId="0" quotePrefix="1" applyNumberFormat="1" applyFont="1" applyBorder="1" applyAlignment="1">
      <alignment horizontal="center" vertical="center"/>
    </xf>
    <xf numFmtId="3" fontId="12" fillId="2" borderId="80" xfId="0" applyNumberFormat="1" applyFont="1" applyFill="1" applyBorder="1" applyAlignment="1" applyProtection="1">
      <alignment horizontal="center" vertical="center"/>
      <protection locked="0"/>
    </xf>
    <xf numFmtId="0" fontId="28" fillId="0" borderId="80" xfId="0" applyFont="1" applyBorder="1" applyAlignment="1">
      <alignment horizontal="center" vertical="center"/>
    </xf>
    <xf numFmtId="0" fontId="0" fillId="0" borderId="23" xfId="0" applyBorder="1"/>
    <xf numFmtId="0" fontId="0" fillId="0" borderId="14" xfId="0" applyBorder="1"/>
    <xf numFmtId="0" fontId="0" fillId="0" borderId="24" xfId="0" applyBorder="1"/>
    <xf numFmtId="0" fontId="28" fillId="0" borderId="27" xfId="0" applyFont="1" applyBorder="1" applyAlignment="1">
      <alignment horizontal="center" vertical="center"/>
    </xf>
    <xf numFmtId="0" fontId="21" fillId="0" borderId="0" xfId="1" applyFont="1" applyBorder="1" applyAlignment="1"/>
    <xf numFmtId="3" fontId="8" fillId="2" borderId="49" xfId="6" applyNumberFormat="1" applyFont="1" applyFill="1" applyBorder="1" applyAlignment="1" applyProtection="1">
      <alignment horizontal="center" vertical="center"/>
      <protection locked="0"/>
    </xf>
    <xf numFmtId="0" fontId="2" fillId="0" borderId="12" xfId="6" applyFont="1" applyFill="1" applyBorder="1" applyAlignment="1">
      <alignment horizontal="center" vertical="center"/>
    </xf>
    <xf numFmtId="3" fontId="28" fillId="0" borderId="81" xfId="0" applyNumberFormat="1" applyFont="1" applyBorder="1" applyAlignment="1">
      <alignment horizontal="center" vertical="center"/>
    </xf>
    <xf numFmtId="0" fontId="36" fillId="0" borderId="0" xfId="0" applyFont="1" applyFill="1" applyBorder="1" applyAlignment="1">
      <alignment horizontal="left" vertical="center" wrapText="1" indent="1"/>
    </xf>
    <xf numFmtId="0" fontId="36" fillId="0" borderId="0" xfId="0" applyFont="1" applyFill="1" applyBorder="1" applyAlignment="1">
      <alignment horizontal="left" vertical="center" indent="1"/>
    </xf>
    <xf numFmtId="173" fontId="2" fillId="6" borderId="45" xfId="6" applyNumberFormat="1" applyFont="1" applyFill="1" applyBorder="1" applyAlignment="1">
      <alignment vertical="center"/>
    </xf>
    <xf numFmtId="170" fontId="2" fillId="6" borderId="52" xfId="6" applyNumberFormat="1" applyFont="1" applyFill="1" applyBorder="1" applyAlignment="1">
      <alignment vertical="center"/>
    </xf>
    <xf numFmtId="3" fontId="2" fillId="6" borderId="45" xfId="6" applyNumberFormat="1" applyFont="1" applyFill="1" applyBorder="1" applyAlignment="1">
      <alignment vertical="center"/>
    </xf>
    <xf numFmtId="4" fontId="2" fillId="6" borderId="52" xfId="6" applyNumberFormat="1" applyFont="1" applyFill="1" applyBorder="1" applyAlignment="1">
      <alignment vertical="center"/>
    </xf>
    <xf numFmtId="2" fontId="2" fillId="6" borderId="45" xfId="0" applyNumberFormat="1" applyFont="1" applyFill="1" applyBorder="1" applyAlignment="1">
      <alignment vertical="center"/>
    </xf>
    <xf numFmtId="2" fontId="2" fillId="6" borderId="70" xfId="0" applyNumberFormat="1" applyFont="1" applyFill="1" applyBorder="1" applyAlignment="1">
      <alignment vertical="center"/>
    </xf>
    <xf numFmtId="2" fontId="2" fillId="6" borderId="52" xfId="0" applyNumberFormat="1" applyFont="1" applyFill="1" applyBorder="1" applyAlignment="1">
      <alignment vertical="center"/>
    </xf>
    <xf numFmtId="2" fontId="2" fillId="6" borderId="45" xfId="0" applyNumberFormat="1" applyFont="1" applyFill="1" applyBorder="1" applyAlignment="1">
      <alignment horizontal="right" vertical="center"/>
    </xf>
    <xf numFmtId="164" fontId="2" fillId="6" borderId="45" xfId="0" applyNumberFormat="1" applyFont="1" applyFill="1" applyBorder="1" applyAlignment="1">
      <alignment vertical="center"/>
    </xf>
    <xf numFmtId="3" fontId="2" fillId="6" borderId="57" xfId="0" applyNumberFormat="1" applyFont="1" applyFill="1" applyBorder="1" applyAlignment="1">
      <alignment vertical="center"/>
    </xf>
    <xf numFmtId="2" fontId="2" fillId="6" borderId="62" xfId="0" applyNumberFormat="1" applyFont="1" applyFill="1" applyBorder="1" applyAlignment="1">
      <alignment vertical="center"/>
    </xf>
    <xf numFmtId="164" fontId="2" fillId="6" borderId="57" xfId="0" applyNumberFormat="1" applyFont="1" applyFill="1" applyBorder="1" applyAlignment="1">
      <alignment horizontal="right" vertical="center"/>
    </xf>
    <xf numFmtId="3" fontId="2" fillId="6" borderId="45" xfId="0" applyNumberFormat="1" applyFont="1" applyFill="1" applyBorder="1" applyAlignment="1">
      <alignment horizontal="right" vertical="center"/>
    </xf>
    <xf numFmtId="170" fontId="2" fillId="6" borderId="57" xfId="0" applyNumberFormat="1" applyFont="1" applyFill="1" applyBorder="1" applyAlignment="1">
      <alignment horizontal="right" vertical="center"/>
    </xf>
    <xf numFmtId="3" fontId="2" fillId="6" borderId="62" xfId="0" applyNumberFormat="1" applyFont="1" applyFill="1" applyBorder="1" applyAlignment="1">
      <alignment vertical="center"/>
    </xf>
    <xf numFmtId="164" fontId="2" fillId="6" borderId="57" xfId="0" applyNumberFormat="1" applyFont="1" applyFill="1" applyBorder="1" applyAlignment="1">
      <alignment vertical="center"/>
    </xf>
    <xf numFmtId="165" fontId="2" fillId="6" borderId="45" xfId="0" applyNumberFormat="1" applyFont="1" applyFill="1" applyBorder="1" applyAlignment="1">
      <alignment vertical="center"/>
    </xf>
    <xf numFmtId="170" fontId="2" fillId="6" borderId="52" xfId="0" applyNumberFormat="1" applyFont="1" applyFill="1" applyBorder="1" applyAlignment="1">
      <alignment vertical="center"/>
    </xf>
    <xf numFmtId="4" fontId="2" fillId="6" borderId="45" xfId="0" applyNumberFormat="1" applyFont="1" applyFill="1" applyBorder="1" applyAlignment="1">
      <alignment vertical="center"/>
    </xf>
    <xf numFmtId="4" fontId="2" fillId="6" borderId="52" xfId="0" applyNumberFormat="1" applyFont="1" applyFill="1" applyBorder="1" applyAlignment="1">
      <alignment vertical="center"/>
    </xf>
    <xf numFmtId="164" fontId="2" fillId="6" borderId="52" xfId="0" applyNumberFormat="1" applyFont="1" applyFill="1" applyBorder="1" applyAlignment="1">
      <alignment vertical="center"/>
    </xf>
    <xf numFmtId="2" fontId="5" fillId="6" borderId="45" xfId="0" applyNumberFormat="1" applyFont="1" applyFill="1" applyBorder="1" applyAlignment="1">
      <alignment vertical="center"/>
    </xf>
    <xf numFmtId="164" fontId="5" fillId="6" borderId="52" xfId="0" applyNumberFormat="1" applyFont="1" applyFill="1" applyBorder="1" applyAlignment="1">
      <alignment vertical="center"/>
    </xf>
    <xf numFmtId="170" fontId="2" fillId="6" borderId="45" xfId="0" applyNumberFormat="1" applyFont="1" applyFill="1" applyBorder="1" applyAlignment="1">
      <alignment vertical="center"/>
    </xf>
    <xf numFmtId="166" fontId="2" fillId="6" borderId="45" xfId="0" applyNumberFormat="1" applyFont="1" applyFill="1" applyBorder="1" applyAlignment="1">
      <alignment horizontal="right" vertical="center"/>
    </xf>
    <xf numFmtId="167" fontId="2" fillId="6" borderId="52" xfId="0" applyNumberFormat="1" applyFont="1" applyFill="1" applyBorder="1" applyAlignment="1">
      <alignment horizontal="right" vertical="center"/>
    </xf>
    <xf numFmtId="164" fontId="2" fillId="6" borderId="45" xfId="0" applyNumberFormat="1" applyFont="1" applyFill="1" applyBorder="1" applyAlignment="1">
      <alignment horizontal="right" vertical="center"/>
    </xf>
    <xf numFmtId="164" fontId="2" fillId="6" borderId="52" xfId="0" applyNumberFormat="1" applyFont="1" applyFill="1" applyBorder="1" applyAlignment="1">
      <alignment horizontal="right" vertical="center"/>
    </xf>
    <xf numFmtId="2" fontId="2" fillId="6" borderId="57" xfId="0" applyNumberFormat="1" applyFont="1" applyFill="1" applyBorder="1" applyAlignment="1">
      <alignment horizontal="right" vertical="center"/>
    </xf>
    <xf numFmtId="2" fontId="2" fillId="6" borderId="62" xfId="0" applyNumberFormat="1" applyFont="1" applyFill="1" applyBorder="1" applyAlignment="1">
      <alignment horizontal="right" vertical="center"/>
    </xf>
    <xf numFmtId="164" fontId="2" fillId="6" borderId="62" xfId="0" applyNumberFormat="1" applyFont="1" applyFill="1" applyBorder="1" applyAlignment="1">
      <alignment vertical="center"/>
    </xf>
    <xf numFmtId="170" fontId="2" fillId="6" borderId="62" xfId="0" applyNumberFormat="1" applyFont="1" applyFill="1" applyBorder="1" applyAlignment="1">
      <alignment vertical="center"/>
    </xf>
    <xf numFmtId="2" fontId="2" fillId="6" borderId="57" xfId="0" applyNumberFormat="1" applyFont="1" applyFill="1" applyBorder="1" applyAlignment="1">
      <alignment vertical="center"/>
    </xf>
    <xf numFmtId="170" fontId="2" fillId="6" borderId="57" xfId="0" applyNumberFormat="1" applyFont="1" applyFill="1" applyBorder="1" applyAlignment="1">
      <alignment vertical="center"/>
    </xf>
    <xf numFmtId="167" fontId="2" fillId="6" borderId="45" xfId="0" applyNumberFormat="1" applyFont="1" applyFill="1" applyBorder="1" applyAlignment="1">
      <alignment vertical="center"/>
    </xf>
    <xf numFmtId="3" fontId="2" fillId="6" borderId="45" xfId="0" applyNumberFormat="1" applyFont="1" applyFill="1" applyBorder="1" applyAlignment="1">
      <alignment vertical="center"/>
    </xf>
    <xf numFmtId="168" fontId="2" fillId="6" borderId="52" xfId="0" applyNumberFormat="1" applyFont="1" applyFill="1" applyBorder="1" applyAlignment="1">
      <alignment vertical="center"/>
    </xf>
    <xf numFmtId="166" fontId="2" fillId="6" borderId="45" xfId="0" applyNumberFormat="1" applyFont="1" applyFill="1" applyBorder="1" applyAlignment="1">
      <alignment vertical="center"/>
    </xf>
    <xf numFmtId="166" fontId="2" fillId="6" borderId="52" xfId="0" applyNumberFormat="1" applyFont="1" applyFill="1" applyBorder="1" applyAlignment="1">
      <alignment vertical="center"/>
    </xf>
    <xf numFmtId="168" fontId="2" fillId="6" borderId="45" xfId="0" applyNumberFormat="1" applyFont="1" applyFill="1" applyBorder="1" applyAlignment="1">
      <alignment vertical="center"/>
    </xf>
    <xf numFmtId="2" fontId="2" fillId="6" borderId="52" xfId="6" applyNumberFormat="1" applyFont="1" applyFill="1" applyBorder="1" applyAlignment="1">
      <alignment vertical="center"/>
    </xf>
    <xf numFmtId="166" fontId="2" fillId="6" borderId="45" xfId="6" applyNumberFormat="1" applyFont="1" applyFill="1" applyBorder="1" applyAlignment="1">
      <alignment vertical="center"/>
    </xf>
    <xf numFmtId="171" fontId="2" fillId="6" borderId="52" xfId="0" applyNumberFormat="1" applyFont="1" applyFill="1" applyBorder="1" applyAlignment="1">
      <alignment vertical="center"/>
    </xf>
    <xf numFmtId="171" fontId="2" fillId="6" borderId="45" xfId="0" applyNumberFormat="1" applyFont="1" applyFill="1" applyBorder="1" applyAlignment="1">
      <alignment vertical="center"/>
    </xf>
    <xf numFmtId="165" fontId="2" fillId="6" borderId="52" xfId="0" applyNumberFormat="1" applyFont="1" applyFill="1" applyBorder="1" applyAlignment="1">
      <alignment vertical="center"/>
    </xf>
    <xf numFmtId="172" fontId="2" fillId="6" borderId="52" xfId="0" applyNumberFormat="1" applyFont="1" applyFill="1" applyBorder="1" applyAlignment="1">
      <alignment vertical="center"/>
    </xf>
    <xf numFmtId="169" fontId="2" fillId="6" borderId="52" xfId="0" applyNumberFormat="1" applyFont="1" applyFill="1" applyBorder="1" applyAlignment="1">
      <alignment vertical="center"/>
    </xf>
    <xf numFmtId="3" fontId="2" fillId="6" borderId="52" xfId="0" applyNumberFormat="1" applyFont="1" applyFill="1" applyBorder="1" applyAlignment="1">
      <alignment vertical="center"/>
    </xf>
    <xf numFmtId="0" fontId="28" fillId="6" borderId="73" xfId="0" applyFont="1" applyFill="1" applyBorder="1" applyAlignment="1">
      <alignment horizontal="center" vertical="center"/>
    </xf>
    <xf numFmtId="0" fontId="28" fillId="6" borderId="79" xfId="0" applyFont="1" applyFill="1" applyBorder="1" applyAlignment="1">
      <alignment horizontal="center" vertical="center"/>
    </xf>
    <xf numFmtId="0" fontId="28" fillId="6" borderId="75" xfId="0" applyFont="1" applyFill="1" applyBorder="1" applyAlignment="1">
      <alignment horizontal="center" vertical="center"/>
    </xf>
    <xf numFmtId="2" fontId="2" fillId="6" borderId="45" xfId="6" applyNumberFormat="1" applyFont="1" applyFill="1" applyBorder="1" applyAlignment="1">
      <alignment vertical="center"/>
    </xf>
    <xf numFmtId="170" fontId="2" fillId="6" borderId="45" xfId="6" applyNumberFormat="1" applyFont="1" applyFill="1" applyBorder="1" applyAlignment="1">
      <alignment vertical="center"/>
    </xf>
    <xf numFmtId="2" fontId="26" fillId="6" borderId="3" xfId="0" applyNumberFormat="1" applyFont="1" applyFill="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2" fontId="2" fillId="6" borderId="52" xfId="0" applyNumberFormat="1" applyFont="1" applyFill="1" applyBorder="1" applyAlignment="1">
      <alignment horizontal="center" vertical="center"/>
    </xf>
    <xf numFmtId="3" fontId="2" fillId="6" borderId="57" xfId="0" applyNumberFormat="1" applyFont="1" applyFill="1" applyBorder="1" applyAlignment="1">
      <alignment horizontal="center" vertical="center"/>
    </xf>
    <xf numFmtId="170" fontId="2" fillId="6" borderId="57" xfId="0" applyNumberFormat="1" applyFont="1" applyFill="1" applyBorder="1" applyAlignment="1">
      <alignment horizontal="center" vertical="center"/>
    </xf>
    <xf numFmtId="2" fontId="2" fillId="6" borderId="70" xfId="0" applyNumberFormat="1" applyFont="1" applyFill="1" applyBorder="1" applyAlignment="1">
      <alignment horizontal="center" vertical="center"/>
    </xf>
    <xf numFmtId="164" fontId="2" fillId="6" borderId="45" xfId="0" applyNumberFormat="1" applyFont="1" applyFill="1" applyBorder="1" applyAlignment="1">
      <alignment horizontal="center" vertical="center"/>
    </xf>
    <xf numFmtId="2" fontId="2" fillId="6" borderId="45" xfId="0" applyNumberFormat="1" applyFont="1" applyFill="1" applyBorder="1" applyAlignment="1">
      <alignment horizontal="center" vertical="center"/>
    </xf>
    <xf numFmtId="170" fontId="2" fillId="6" borderId="45" xfId="0" applyNumberFormat="1" applyFont="1" applyFill="1" applyBorder="1" applyAlignment="1">
      <alignment horizontal="center" vertical="center"/>
    </xf>
    <xf numFmtId="164" fontId="2" fillId="6" borderId="57" xfId="0" applyNumberFormat="1" applyFont="1" applyFill="1" applyBorder="1" applyAlignment="1">
      <alignment horizontal="center" vertical="center"/>
    </xf>
    <xf numFmtId="164" fontId="2" fillId="6" borderId="62" xfId="0" applyNumberFormat="1" applyFont="1" applyFill="1" applyBorder="1" applyAlignment="1">
      <alignment horizontal="center" vertical="center"/>
    </xf>
    <xf numFmtId="168" fontId="2" fillId="6" borderId="52" xfId="0" applyNumberFormat="1" applyFont="1" applyFill="1" applyBorder="1" applyAlignment="1">
      <alignment horizontal="center" vertical="center"/>
    </xf>
    <xf numFmtId="167" fontId="2" fillId="6" borderId="45" xfId="0" applyNumberFormat="1" applyFont="1" applyFill="1" applyBorder="1" applyAlignment="1">
      <alignment horizontal="center" vertical="center"/>
    </xf>
    <xf numFmtId="4" fontId="2" fillId="6" borderId="52" xfId="6" applyNumberFormat="1" applyFont="1" applyFill="1" applyBorder="1" applyAlignment="1">
      <alignment horizontal="center" vertical="center"/>
    </xf>
    <xf numFmtId="4" fontId="2" fillId="6" borderId="45" xfId="0" applyNumberFormat="1" applyFont="1" applyFill="1" applyBorder="1" applyAlignment="1">
      <alignment horizontal="center" vertical="center"/>
    </xf>
    <xf numFmtId="2" fontId="2" fillId="6" borderId="52" xfId="6" applyNumberFormat="1" applyFont="1" applyFill="1" applyBorder="1" applyAlignment="1">
      <alignment horizontal="center" vertical="center"/>
    </xf>
    <xf numFmtId="2" fontId="2" fillId="6" borderId="45" xfId="6" applyNumberFormat="1" applyFont="1" applyFill="1" applyBorder="1" applyAlignment="1">
      <alignment horizontal="center" vertical="center"/>
    </xf>
    <xf numFmtId="0" fontId="34" fillId="0" borderId="0" xfId="0" applyFont="1" applyAlignment="1">
      <alignment horizontal="center"/>
    </xf>
    <xf numFmtId="0" fontId="20" fillId="0" borderId="0" xfId="2" applyFont="1" applyFill="1" applyAlignment="1" applyProtection="1">
      <alignment horizontal="center"/>
      <protection locked="0"/>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8" fillId="0" borderId="0" xfId="0" applyFont="1" applyAlignment="1">
      <alignment horizontal="center" vertical="center"/>
    </xf>
    <xf numFmtId="0" fontId="21" fillId="0" borderId="7" xfId="0" applyFont="1" applyBorder="1" applyAlignment="1">
      <alignment horizontal="center" vertical="center"/>
    </xf>
    <xf numFmtId="0" fontId="5" fillId="0" borderId="0" xfId="0" applyFont="1" applyAlignment="1">
      <alignment horizontal="center"/>
    </xf>
    <xf numFmtId="0" fontId="9" fillId="3" borderId="35" xfId="2" applyFont="1" applyFill="1" applyBorder="1" applyAlignment="1" applyProtection="1">
      <alignment horizontal="center" vertical="center" wrapText="1"/>
      <protection locked="0"/>
    </xf>
    <xf numFmtId="0" fontId="9" fillId="3" borderId="36" xfId="2" applyFont="1" applyFill="1" applyBorder="1" applyAlignment="1" applyProtection="1">
      <alignment horizontal="center" vertical="center" wrapText="1"/>
      <protection locked="0"/>
    </xf>
    <xf numFmtId="0" fontId="9" fillId="3" borderId="37" xfId="2" applyFont="1" applyFill="1" applyBorder="1" applyAlignment="1" applyProtection="1">
      <alignment horizontal="center" vertical="center" wrapText="1"/>
      <protection locked="0"/>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9" fillId="3" borderId="31" xfId="2" applyFont="1" applyFill="1" applyBorder="1" applyAlignment="1" applyProtection="1">
      <alignment horizontal="center" vertical="center" wrapText="1"/>
      <protection locked="0"/>
    </xf>
    <xf numFmtId="0" fontId="9" fillId="3" borderId="32" xfId="2" applyFont="1" applyFill="1" applyBorder="1" applyAlignment="1" applyProtection="1">
      <alignment horizontal="center" vertical="center" wrapText="1"/>
      <protection locked="0"/>
    </xf>
    <xf numFmtId="0" fontId="9" fillId="3" borderId="33" xfId="2" applyFont="1" applyFill="1" applyBorder="1" applyAlignment="1" applyProtection="1">
      <alignment horizontal="center" vertical="center" wrapText="1"/>
      <protection locked="0"/>
    </xf>
    <xf numFmtId="0" fontId="21" fillId="0" borderId="0" xfId="1" applyFont="1" applyBorder="1" applyAlignment="1">
      <alignment horizontal="center" vertical="center"/>
    </xf>
    <xf numFmtId="0" fontId="21" fillId="0" borderId="34" xfId="1" applyFont="1" applyBorder="1" applyAlignment="1">
      <alignment horizontal="center" vertical="center"/>
    </xf>
    <xf numFmtId="0" fontId="25" fillId="5" borderId="39" xfId="0" applyFont="1" applyFill="1" applyBorder="1" applyAlignment="1">
      <alignment horizontal="center" vertical="center"/>
    </xf>
    <xf numFmtId="0" fontId="25" fillId="5" borderId="64" xfId="0" applyFont="1" applyFill="1" applyBorder="1" applyAlignment="1">
      <alignment horizontal="center" vertical="center"/>
    </xf>
    <xf numFmtId="0" fontId="25" fillId="5" borderId="65" xfId="0" applyFont="1" applyFill="1" applyBorder="1" applyAlignment="1">
      <alignment horizontal="center" vertical="center"/>
    </xf>
    <xf numFmtId="0" fontId="21" fillId="0" borderId="0" xfId="1" applyFont="1" applyBorder="1" applyAlignment="1">
      <alignment horizontal="center" vertical="top"/>
    </xf>
    <xf numFmtId="0" fontId="21" fillId="0" borderId="34" xfId="1" applyFont="1" applyBorder="1" applyAlignment="1">
      <alignment horizontal="center" vertical="top"/>
    </xf>
    <xf numFmtId="0" fontId="5" fillId="0" borderId="40" xfId="0" applyFont="1" applyBorder="1" applyAlignment="1">
      <alignment horizontal="center" vertical="center"/>
    </xf>
    <xf numFmtId="0" fontId="5" fillId="0" borderId="47" xfId="0" applyFont="1" applyBorder="1" applyAlignment="1">
      <alignment horizontal="center" vertical="center"/>
    </xf>
    <xf numFmtId="0" fontId="2" fillId="0" borderId="40" xfId="6" applyFont="1" applyBorder="1" applyAlignment="1">
      <alignment horizontal="center" vertical="center"/>
    </xf>
    <xf numFmtId="0" fontId="2" fillId="0" borderId="47" xfId="6" applyFont="1" applyBorder="1" applyAlignment="1">
      <alignment horizontal="center" vertical="center"/>
    </xf>
    <xf numFmtId="0" fontId="35" fillId="3" borderId="31" xfId="2" applyFont="1" applyFill="1" applyBorder="1" applyAlignment="1" applyProtection="1">
      <alignment horizontal="center" vertical="center" wrapText="1"/>
      <protection locked="0"/>
    </xf>
    <xf numFmtId="0" fontId="35" fillId="3" borderId="32" xfId="2" applyFont="1" applyFill="1" applyBorder="1" applyAlignment="1" applyProtection="1">
      <alignment horizontal="center" vertical="center" wrapText="1"/>
      <protection locked="0"/>
    </xf>
    <xf numFmtId="0" fontId="35" fillId="3" borderId="33" xfId="2" applyFont="1" applyFill="1" applyBorder="1" applyAlignment="1" applyProtection="1">
      <alignment horizontal="center" vertical="center" wrapText="1"/>
      <protection locked="0"/>
    </xf>
    <xf numFmtId="0" fontId="25" fillId="5" borderId="64" xfId="6" applyFont="1" applyFill="1" applyBorder="1" applyAlignment="1">
      <alignment horizontal="center" vertical="center"/>
    </xf>
    <xf numFmtId="0" fontId="25" fillId="5" borderId="65" xfId="6" applyFont="1" applyFill="1" applyBorder="1" applyAlignment="1">
      <alignment horizontal="center" vertical="center"/>
    </xf>
    <xf numFmtId="0" fontId="29" fillId="5" borderId="18" xfId="0" applyFont="1" applyFill="1" applyBorder="1" applyAlignment="1">
      <alignment horizontal="center" vertical="center"/>
    </xf>
    <xf numFmtId="0" fontId="29" fillId="5" borderId="19" xfId="0" applyFont="1" applyFill="1" applyBorder="1" applyAlignment="1">
      <alignment horizontal="center" vertical="center"/>
    </xf>
    <xf numFmtId="0" fontId="29" fillId="5" borderId="20" xfId="0" applyFont="1" applyFill="1" applyBorder="1" applyAlignment="1">
      <alignment horizontal="center" vertical="center"/>
    </xf>
    <xf numFmtId="0" fontId="14" fillId="0" borderId="0" xfId="3" applyFont="1" applyFill="1" applyBorder="1" applyAlignment="1">
      <alignment horizontal="left" vertical="top" wrapText="1"/>
    </xf>
    <xf numFmtId="0" fontId="24" fillId="0" borderId="19" xfId="5" applyFont="1" applyFill="1" applyBorder="1" applyAlignment="1">
      <alignment horizontal="center" vertical="center"/>
    </xf>
    <xf numFmtId="0" fontId="24" fillId="0" borderId="0" xfId="5" applyFont="1" applyFill="1" applyBorder="1" applyAlignment="1">
      <alignment horizontal="center"/>
    </xf>
  </cellXfs>
  <cellStyles count="9">
    <cellStyle name="Heading 1" xfId="1" builtinId="16"/>
    <cellStyle name="Heading 1 2" xfId="7"/>
    <cellStyle name="Heading 2 2" xfId="5"/>
    <cellStyle name="Hyperlink" xfId="2" builtinId="8"/>
    <cellStyle name="Hyperlink 2" xfId="4"/>
    <cellStyle name="Normal" xfId="0" builtinId="0"/>
    <cellStyle name="Normal 2" xfId="3"/>
    <cellStyle name="Normal 3" xfId="6"/>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1356770</xdr:colOff>
      <xdr:row>2</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75895"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Desktop/Dbase%20Email/HVAC%20Notebook%20QuickCalc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VAC%20Notebook%20QuickCalc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Mixed Air Temp"/>
      <sheetName val="Ductwork"/>
      <sheetName val="Interpolation"/>
      <sheetName val="Feet &amp; Inches"/>
      <sheetName val="Loads"/>
      <sheetName val="Unit Conversion"/>
      <sheetName val="Pipe"/>
      <sheetName val="Motor"/>
      <sheetName val="Percentage"/>
      <sheetName val="GPM"/>
      <sheetName val="Pump Law"/>
      <sheetName val="Fan Law"/>
      <sheetName val="Airflow"/>
      <sheetName val="Pressurization"/>
      <sheetName val="Louver"/>
      <sheetName val="Disclaimer"/>
      <sheetName val="Message"/>
      <sheetName val="Electrical"/>
      <sheetName val="Chiller"/>
      <sheetName val="100 OA"/>
      <sheetName val="Pipe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7">
          <cell r="N7" t="str">
            <v>1" dia. Sch 40 Welded</v>
          </cell>
        </row>
        <row r="8">
          <cell r="N8" t="str">
            <v>1-1/4" dia. Sch 40 Welded</v>
          </cell>
        </row>
        <row r="9">
          <cell r="N9" t="str">
            <v>1-1/2" dia. Sch 40 Welded</v>
          </cell>
        </row>
        <row r="10">
          <cell r="N10" t="str">
            <v>2" dia. Sch 40 Welded</v>
          </cell>
        </row>
        <row r="11">
          <cell r="N11" t="str">
            <v>2-1/2" dia. Sch 40 Welded</v>
          </cell>
        </row>
        <row r="12">
          <cell r="N12" t="str">
            <v>3" dia. Sch 40 Welded</v>
          </cell>
        </row>
        <row r="13">
          <cell r="N13" t="str">
            <v>3-1/2" dia. Sch 40 Welded</v>
          </cell>
        </row>
        <row r="14">
          <cell r="N14" t="str">
            <v>4" dia. Sch 40 Welded</v>
          </cell>
        </row>
        <row r="15">
          <cell r="N15" t="str">
            <v>5" dia. Sch 40 Welded</v>
          </cell>
        </row>
        <row r="16">
          <cell r="N16" t="str">
            <v>6" dia. Sch 40 Welded</v>
          </cell>
        </row>
        <row r="17">
          <cell r="N17" t="str">
            <v>8" dia. Sch 40 Welded</v>
          </cell>
        </row>
        <row r="18">
          <cell r="N18" t="str">
            <v>10" dia. Sch 40 Welded</v>
          </cell>
        </row>
        <row r="19">
          <cell r="N19" t="str">
            <v>12" dia. Sch 40 Welded</v>
          </cell>
        </row>
        <row r="20">
          <cell r="N20" t="str">
            <v>14" dia. Sch 40 Welded</v>
          </cell>
        </row>
        <row r="21">
          <cell r="N21" t="str">
            <v>16" dia. Sch 40 Welded</v>
          </cell>
        </row>
        <row r="22">
          <cell r="N22" t="str">
            <v>18" dia. Sch 40 Welded</v>
          </cell>
        </row>
        <row r="23">
          <cell r="N23" t="str">
            <v>20" dia. Sch 40 Welded</v>
          </cell>
        </row>
        <row r="24">
          <cell r="N24" t="str">
            <v>24" Dia. Sch 40 Pipe</v>
          </cell>
        </row>
        <row r="25">
          <cell r="N25" t="str">
            <v>Add 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Mixed Air Temp"/>
      <sheetName val="Ductwork"/>
      <sheetName val="Interpolation"/>
      <sheetName val="Feet &amp; Inches"/>
      <sheetName val="Loads"/>
      <sheetName val="Unit Conversion"/>
      <sheetName val="Pipe"/>
      <sheetName val="Motor"/>
      <sheetName val="Percentage"/>
      <sheetName val="GPM"/>
      <sheetName val="Pump Law"/>
      <sheetName val="Fan Law"/>
      <sheetName val="Airflow"/>
      <sheetName val="Pressurization"/>
      <sheetName val="Louver"/>
      <sheetName val="Disclaimer"/>
      <sheetName val="Message"/>
      <sheetName val="Electrical"/>
      <sheetName val="Chiller"/>
      <sheetName val="100 OA"/>
      <sheetName val="Pipe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7">
          <cell r="N7" t="str">
            <v>1" dia. Sch 40 Welded</v>
          </cell>
        </row>
        <row r="8">
          <cell r="N8" t="str">
            <v>1-1/4" dia. Sch 40 Welded</v>
          </cell>
        </row>
        <row r="9">
          <cell r="N9" t="str">
            <v>1-1/2" dia. Sch 40 Welded</v>
          </cell>
        </row>
        <row r="10">
          <cell r="N10" t="str">
            <v>2" dia. Sch 40 Welded</v>
          </cell>
        </row>
        <row r="11">
          <cell r="N11" t="str">
            <v>2-1/2" dia. Sch 40 Welded</v>
          </cell>
        </row>
        <row r="12">
          <cell r="N12" t="str">
            <v>3" dia. Sch 40 Welded</v>
          </cell>
        </row>
        <row r="13">
          <cell r="N13" t="str">
            <v>3-1/2" dia. Sch 40 Welded</v>
          </cell>
        </row>
        <row r="14">
          <cell r="N14" t="str">
            <v>4" dia. Sch 40 Welded</v>
          </cell>
        </row>
        <row r="15">
          <cell r="N15" t="str">
            <v>5" dia. Sch 40 Welded</v>
          </cell>
        </row>
        <row r="16">
          <cell r="N16" t="str">
            <v>6" dia. Sch 40 Welded</v>
          </cell>
        </row>
        <row r="17">
          <cell r="N17" t="str">
            <v>8" dia. Sch 40 Welded</v>
          </cell>
        </row>
        <row r="18">
          <cell r="N18" t="str">
            <v>10" dia. Sch 40 Welded</v>
          </cell>
        </row>
        <row r="19">
          <cell r="N19" t="str">
            <v>12" dia. Sch 40 Welded</v>
          </cell>
        </row>
        <row r="20">
          <cell r="N20" t="str">
            <v>14" dia. Sch 40 Welded</v>
          </cell>
        </row>
        <row r="21">
          <cell r="N21" t="str">
            <v>16" dia. Sch 40 Welded</v>
          </cell>
        </row>
        <row r="22">
          <cell r="N22" t="str">
            <v>18" dia. Sch 40 Welded</v>
          </cell>
        </row>
        <row r="23">
          <cell r="N23" t="str">
            <v>20" dia. Sch 40 Welded</v>
          </cell>
        </row>
        <row r="24">
          <cell r="N24" t="str">
            <v>24" Dia. Sch 40 Pipe</v>
          </cell>
        </row>
        <row r="25">
          <cell r="N25" t="str">
            <v>Add Others…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vacnotebook.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22"/>
  <sheetViews>
    <sheetView showGridLines="0" workbookViewId="0">
      <selection activeCell="E10" sqref="E10"/>
    </sheetView>
  </sheetViews>
  <sheetFormatPr defaultRowHeight="23.25" customHeight="1" x14ac:dyDescent="0.2"/>
  <cols>
    <col min="1" max="1" width="5.5703125" customWidth="1"/>
    <col min="2" max="2" width="3.7109375" customWidth="1"/>
    <col min="3" max="3" width="20.5703125" customWidth="1"/>
    <col min="4" max="4" width="5.5703125" customWidth="1"/>
    <col min="5" max="5" width="20.5703125" customWidth="1"/>
    <col min="6" max="6" width="4" customWidth="1"/>
    <col min="7" max="7" width="2.5703125" customWidth="1"/>
    <col min="8" max="8" width="2.85546875" customWidth="1"/>
    <col min="9" max="9" width="9.85546875" customWidth="1"/>
    <col min="10" max="10" width="25.5703125" customWidth="1"/>
    <col min="11" max="11" width="2.42578125" customWidth="1"/>
  </cols>
  <sheetData>
    <row r="1" spans="1:11" ht="23.25" customHeight="1" x14ac:dyDescent="0.2">
      <c r="A1" s="37"/>
      <c r="J1" s="21" t="s">
        <v>397</v>
      </c>
    </row>
    <row r="2" spans="1:11" ht="23.25" customHeight="1" x14ac:dyDescent="0.4">
      <c r="E2" s="221" t="s">
        <v>177</v>
      </c>
      <c r="F2" s="221"/>
      <c r="G2" s="221"/>
      <c r="H2" s="221"/>
      <c r="I2" s="221"/>
      <c r="J2" s="21"/>
    </row>
    <row r="3" spans="1:11" ht="28.5" customHeight="1" thickBot="1" x14ac:dyDescent="0.25">
      <c r="B3" s="225" t="s">
        <v>400</v>
      </c>
      <c r="C3" s="225"/>
      <c r="D3" s="225"/>
      <c r="E3" s="225"/>
      <c r="F3" s="225"/>
      <c r="G3" s="225"/>
      <c r="H3" s="225"/>
      <c r="I3" s="225"/>
      <c r="J3" s="225"/>
      <c r="K3" s="225"/>
    </row>
    <row r="4" spans="1:11" ht="20.25" customHeight="1" thickBot="1" x14ac:dyDescent="0.25">
      <c r="B4" s="36"/>
      <c r="C4" s="36"/>
      <c r="D4" s="36"/>
      <c r="E4" s="228" t="s">
        <v>194</v>
      </c>
      <c r="F4" s="229"/>
      <c r="G4" s="229"/>
      <c r="H4" s="229"/>
      <c r="I4" s="230"/>
      <c r="J4" s="36"/>
      <c r="K4" s="36"/>
    </row>
    <row r="5" spans="1:11" ht="17.25" customHeight="1" thickTop="1" thickBot="1" x14ac:dyDescent="0.25"/>
    <row r="6" spans="1:11" ht="23.25" customHeight="1" x14ac:dyDescent="0.2">
      <c r="B6" s="16"/>
      <c r="C6" s="226" t="s">
        <v>176</v>
      </c>
      <c r="D6" s="226"/>
      <c r="E6" s="226"/>
      <c r="F6" s="17"/>
      <c r="H6" s="222" t="s">
        <v>395</v>
      </c>
      <c r="I6" s="223"/>
      <c r="J6" s="223"/>
      <c r="K6" s="224"/>
    </row>
    <row r="7" spans="1:11" ht="13.5" customHeight="1" thickBot="1" x14ac:dyDescent="0.4">
      <c r="B7" s="9"/>
      <c r="C7" s="12"/>
      <c r="D7" s="12"/>
      <c r="E7" s="12"/>
      <c r="F7" s="8"/>
      <c r="H7" s="6"/>
      <c r="I7" s="7"/>
      <c r="J7" s="7"/>
      <c r="K7" s="8"/>
    </row>
    <row r="8" spans="1:11" ht="21.75" customHeight="1" thickBot="1" x14ac:dyDescent="0.25">
      <c r="B8" s="9"/>
      <c r="C8" s="4" t="s">
        <v>25</v>
      </c>
      <c r="D8" s="12"/>
      <c r="E8" s="4" t="s">
        <v>31</v>
      </c>
      <c r="F8" s="8"/>
      <c r="H8" s="9"/>
      <c r="I8" s="10">
        <v>34</v>
      </c>
      <c r="J8" s="147" t="s">
        <v>396</v>
      </c>
      <c r="K8" s="8"/>
    </row>
    <row r="9" spans="1:11" ht="10.5" customHeight="1" thickTop="1" thickBot="1" x14ac:dyDescent="0.4">
      <c r="B9" s="9"/>
      <c r="C9" s="12"/>
      <c r="D9" s="12"/>
      <c r="E9" s="12"/>
      <c r="F9" s="8"/>
      <c r="H9" s="9"/>
      <c r="I9" s="7"/>
      <c r="J9" s="11"/>
      <c r="K9" s="8"/>
    </row>
    <row r="10" spans="1:11" ht="21.75" customHeight="1" thickBot="1" x14ac:dyDescent="0.25">
      <c r="B10" s="9"/>
      <c r="C10" s="4" t="s">
        <v>26</v>
      </c>
      <c r="D10" s="12"/>
      <c r="E10" s="4" t="s">
        <v>30</v>
      </c>
      <c r="F10" s="8"/>
      <c r="H10" s="9"/>
      <c r="I10" s="202">
        <f>I8/12</f>
        <v>2.8333333333333335</v>
      </c>
      <c r="J10" s="148" t="s">
        <v>393</v>
      </c>
      <c r="K10" s="8"/>
    </row>
    <row r="11" spans="1:11" ht="10.5" customHeight="1" thickTop="1" thickBot="1" x14ac:dyDescent="0.25">
      <c r="B11" s="9"/>
      <c r="C11" s="12"/>
      <c r="D11" s="12"/>
      <c r="E11" s="12"/>
      <c r="F11" s="8"/>
      <c r="H11" s="9"/>
      <c r="I11" s="12"/>
      <c r="J11" s="148"/>
      <c r="K11" s="8"/>
    </row>
    <row r="12" spans="1:11" ht="21.75" customHeight="1" thickBot="1" x14ac:dyDescent="0.25">
      <c r="B12" s="9"/>
      <c r="C12" s="4" t="s">
        <v>27</v>
      </c>
      <c r="D12" s="12"/>
      <c r="E12" s="4" t="s">
        <v>29</v>
      </c>
      <c r="F12" s="8"/>
      <c r="H12" s="9"/>
      <c r="I12" s="202" t="s">
        <v>448</v>
      </c>
      <c r="J12" s="147" t="s">
        <v>394</v>
      </c>
      <c r="K12" s="8"/>
    </row>
    <row r="13" spans="1:11" ht="10.5" customHeight="1" thickTop="1" thickBot="1" x14ac:dyDescent="0.25">
      <c r="B13" s="9"/>
      <c r="C13" s="12"/>
      <c r="D13" s="12"/>
      <c r="E13" s="12"/>
      <c r="F13" s="8"/>
      <c r="H13" s="13"/>
      <c r="I13" s="14"/>
      <c r="J13" s="14"/>
      <c r="K13" s="15"/>
    </row>
    <row r="14" spans="1:11" ht="21.75" customHeight="1" thickBot="1" x14ac:dyDescent="0.25">
      <c r="B14" s="9"/>
      <c r="C14" s="4" t="s">
        <v>28</v>
      </c>
      <c r="D14" s="12"/>
      <c r="E14" s="4" t="s">
        <v>159</v>
      </c>
      <c r="F14" s="8"/>
    </row>
    <row r="15" spans="1:11" ht="10.5" customHeight="1" thickTop="1" thickBot="1" x14ac:dyDescent="0.25">
      <c r="B15" s="9"/>
      <c r="C15" s="12"/>
      <c r="D15" s="12"/>
      <c r="E15" s="12"/>
      <c r="F15" s="8"/>
    </row>
    <row r="16" spans="1:11" ht="21.75" customHeight="1" thickBot="1" x14ac:dyDescent="0.25">
      <c r="B16" s="9"/>
      <c r="C16" s="4" t="s">
        <v>444</v>
      </c>
      <c r="D16" s="12"/>
      <c r="E16" s="4" t="s">
        <v>32</v>
      </c>
      <c r="F16" s="8"/>
    </row>
    <row r="17" spans="2:10" ht="10.5" customHeight="1" thickTop="1" thickBot="1" x14ac:dyDescent="0.25">
      <c r="B17" s="9"/>
      <c r="C17" s="12"/>
      <c r="D17" s="12"/>
      <c r="E17" s="12"/>
      <c r="F17" s="8"/>
      <c r="G17" s="12"/>
      <c r="H17" s="12"/>
    </row>
    <row r="18" spans="2:10" ht="21.75" customHeight="1" thickBot="1" x14ac:dyDescent="0.25">
      <c r="B18" s="9"/>
      <c r="C18" s="4" t="s">
        <v>210</v>
      </c>
      <c r="D18" s="12"/>
      <c r="E18" s="4" t="s">
        <v>392</v>
      </c>
      <c r="F18" s="8"/>
    </row>
    <row r="19" spans="2:10" ht="14.25" customHeight="1" thickTop="1" thickBot="1" x14ac:dyDescent="0.25">
      <c r="B19" s="13"/>
      <c r="C19" s="14"/>
      <c r="D19" s="14"/>
      <c r="E19" s="14"/>
      <c r="F19" s="15"/>
    </row>
    <row r="20" spans="2:10" ht="14.25" customHeight="1" x14ac:dyDescent="0.2">
      <c r="C20" s="227" t="s">
        <v>398</v>
      </c>
      <c r="D20" s="227"/>
      <c r="E20" s="227"/>
      <c r="F20" s="227"/>
      <c r="G20" s="227"/>
      <c r="H20" s="227"/>
      <c r="I20" s="227"/>
      <c r="J20" s="227"/>
    </row>
    <row r="21" spans="2:10" ht="14.25" customHeight="1" x14ac:dyDescent="0.2">
      <c r="C21" s="227" t="s">
        <v>399</v>
      </c>
      <c r="D21" s="227"/>
      <c r="E21" s="227"/>
      <c r="F21" s="227"/>
      <c r="G21" s="227"/>
      <c r="H21" s="227"/>
      <c r="I21" s="227"/>
      <c r="J21" s="227"/>
    </row>
    <row r="22" spans="2:10" ht="14.25" customHeight="1" x14ac:dyDescent="0.2">
      <c r="C22" s="220" t="s">
        <v>401</v>
      </c>
      <c r="D22" s="220"/>
      <c r="E22" s="220"/>
      <c r="F22" s="220"/>
      <c r="G22" s="220"/>
      <c r="H22" s="220"/>
      <c r="I22" s="220"/>
      <c r="J22" s="220"/>
    </row>
  </sheetData>
  <sheetProtection password="D910" sheet="1" objects="1" scenarios="1" selectLockedCells="1"/>
  <mergeCells count="8">
    <mergeCell ref="C22:J22"/>
    <mergeCell ref="E2:I2"/>
    <mergeCell ref="H6:K6"/>
    <mergeCell ref="B3:K3"/>
    <mergeCell ref="C6:E6"/>
    <mergeCell ref="C20:J20"/>
    <mergeCell ref="C21:J21"/>
    <mergeCell ref="E4:I4"/>
  </mergeCells>
  <hyperlinks>
    <hyperlink ref="C8" location="Distance!A1" display="Distance"/>
    <hyperlink ref="C10" location="Temperature!A1" display="Temperature"/>
    <hyperlink ref="C14" location="Volume!A1" display="Volume"/>
    <hyperlink ref="E8" location="Weight!A1" display="Weight"/>
    <hyperlink ref="E10" location="Velocity!A1" display="Velocity"/>
    <hyperlink ref="E12" location="Pressure!A1" display="Pressure"/>
    <hyperlink ref="E16" location="Power!A1" display="Power"/>
    <hyperlink ref="E14" location="Energy!A1" display="Energy"/>
    <hyperlink ref="E2" r:id="rId1"/>
    <hyperlink ref="E4" location="Disclaimer!A1" display="Disclaimer"/>
    <hyperlink ref="C16" location="'Time Date'!A1" display="Time &amp; Date"/>
    <hyperlink ref="C12" location="Area!A1" display="Area"/>
    <hyperlink ref="C18" location="'Feet-inches'!A1" display="Feet-Inches"/>
    <hyperlink ref="E18" location="'US vs Metric'!A1" display="US vs. Metric"/>
  </hyperlinks>
  <pageMargins left="0.25" right="0.25"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42"/>
  <sheetViews>
    <sheetView showGridLines="0" workbookViewId="0">
      <pane ySplit="4" topLeftCell="A5" activePane="bottomLeft" state="frozen"/>
      <selection pane="bottomLeft" activeCell="F2" sqref="F2:I2"/>
    </sheetView>
  </sheetViews>
  <sheetFormatPr defaultRowHeight="16.5" customHeight="1" x14ac:dyDescent="0.2"/>
  <cols>
    <col min="1" max="1" width="3.7109375" customWidth="1"/>
    <col min="2" max="2" width="19.28515625" customWidth="1"/>
    <col min="3" max="3" width="28.42578125" customWidth="1"/>
    <col min="4" max="4" width="3.7109375" customWidth="1"/>
    <col min="5" max="5" width="10.140625" customWidth="1"/>
    <col min="6" max="6" width="7.28515625" customWidth="1"/>
    <col min="7" max="7" width="3.140625" customWidth="1"/>
    <col min="8" max="8" width="11.5703125" customWidth="1"/>
    <col min="9" max="9" width="10.5703125" customWidth="1"/>
  </cols>
  <sheetData>
    <row r="1" spans="1:9" ht="10.5" customHeight="1" thickBot="1" x14ac:dyDescent="0.25">
      <c r="A1" s="37"/>
    </row>
    <row r="2" spans="1:9" ht="21" customHeight="1" thickBot="1" x14ac:dyDescent="0.25">
      <c r="A2" s="37"/>
      <c r="B2" s="241" t="s">
        <v>99</v>
      </c>
      <c r="C2" s="241"/>
      <c r="D2" s="241"/>
      <c r="E2" s="242"/>
      <c r="F2" s="233" t="s">
        <v>211</v>
      </c>
      <c r="G2" s="234"/>
      <c r="H2" s="234"/>
      <c r="I2" s="235"/>
    </row>
    <row r="3" spans="1:9" ht="10.5" customHeight="1" thickTop="1" x14ac:dyDescent="0.2">
      <c r="C3" s="5"/>
    </row>
    <row r="4" spans="1:9" ht="16.5" customHeight="1" thickBot="1" x14ac:dyDescent="0.25">
      <c r="B4" s="50" t="s">
        <v>232</v>
      </c>
      <c r="C4" s="50" t="s">
        <v>42</v>
      </c>
      <c r="E4" s="238" t="s">
        <v>101</v>
      </c>
      <c r="F4" s="238"/>
      <c r="H4" s="238" t="s">
        <v>8</v>
      </c>
      <c r="I4" s="238"/>
    </row>
    <row r="5" spans="1:9" ht="16.5" customHeight="1" x14ac:dyDescent="0.2">
      <c r="B5" s="231" t="s">
        <v>293</v>
      </c>
      <c r="C5" s="51" t="s">
        <v>103</v>
      </c>
      <c r="D5" s="52"/>
      <c r="E5" s="92">
        <v>1</v>
      </c>
      <c r="F5" s="54" t="s">
        <v>145</v>
      </c>
      <c r="G5" s="55" t="s">
        <v>7</v>
      </c>
      <c r="H5" s="167">
        <f>E5*1055.06</f>
        <v>1055.06</v>
      </c>
      <c r="I5" s="56" t="s">
        <v>153</v>
      </c>
    </row>
    <row r="6" spans="1:9" ht="16.5" customHeight="1" thickBot="1" x14ac:dyDescent="0.25">
      <c r="B6" s="232"/>
      <c r="C6" s="79"/>
      <c r="D6" s="14"/>
      <c r="E6" s="93">
        <v>1</v>
      </c>
      <c r="F6" s="59" t="s">
        <v>153</v>
      </c>
      <c r="G6" s="60" t="s">
        <v>7</v>
      </c>
      <c r="H6" s="191">
        <f>E6/1055.06</f>
        <v>9.4781339449889106E-4</v>
      </c>
      <c r="I6" s="61" t="s">
        <v>145</v>
      </c>
    </row>
    <row r="7" spans="1:9" ht="16.5" customHeight="1" thickBot="1" x14ac:dyDescent="0.25"/>
    <row r="8" spans="1:9" ht="16.5" customHeight="1" x14ac:dyDescent="0.2">
      <c r="B8" s="231" t="s">
        <v>294</v>
      </c>
      <c r="C8" s="51" t="s">
        <v>158</v>
      </c>
      <c r="D8" s="52"/>
      <c r="E8" s="92">
        <v>1</v>
      </c>
      <c r="F8" s="54" t="s">
        <v>145</v>
      </c>
      <c r="G8" s="55" t="s">
        <v>7</v>
      </c>
      <c r="H8" s="172">
        <f>E8*0.293</f>
        <v>0.29299999999999998</v>
      </c>
      <c r="I8" s="56" t="s">
        <v>157</v>
      </c>
    </row>
    <row r="9" spans="1:9" ht="16.5" customHeight="1" thickBot="1" x14ac:dyDescent="0.25">
      <c r="B9" s="232"/>
      <c r="C9" s="79"/>
      <c r="D9" s="14"/>
      <c r="E9" s="93">
        <v>1</v>
      </c>
      <c r="F9" s="59" t="s">
        <v>157</v>
      </c>
      <c r="G9" s="60" t="s">
        <v>7</v>
      </c>
      <c r="H9" s="166">
        <f>E9/0.293</f>
        <v>3.4129692832764507</v>
      </c>
      <c r="I9" s="61" t="s">
        <v>145</v>
      </c>
    </row>
    <row r="10" spans="1:9" ht="16.5" customHeight="1" thickBot="1" x14ac:dyDescent="0.25"/>
    <row r="11" spans="1:9" ht="16.5" customHeight="1" x14ac:dyDescent="0.2">
      <c r="B11" s="231" t="s">
        <v>295</v>
      </c>
      <c r="C11" s="51" t="s">
        <v>104</v>
      </c>
      <c r="D11" s="52"/>
      <c r="E11" s="92">
        <v>1</v>
      </c>
      <c r="F11" s="54" t="s">
        <v>146</v>
      </c>
      <c r="G11" s="55" t="s">
        <v>7</v>
      </c>
      <c r="H11" s="172">
        <f>E11*4.186</f>
        <v>4.1859999999999999</v>
      </c>
      <c r="I11" s="56" t="s">
        <v>153</v>
      </c>
    </row>
    <row r="12" spans="1:9" ht="16.5" customHeight="1" thickBot="1" x14ac:dyDescent="0.25">
      <c r="B12" s="232"/>
      <c r="C12" s="79"/>
      <c r="D12" s="14"/>
      <c r="E12" s="93">
        <v>1</v>
      </c>
      <c r="F12" s="59" t="s">
        <v>153</v>
      </c>
      <c r="G12" s="60" t="s">
        <v>7</v>
      </c>
      <c r="H12" s="166">
        <f>E12/4.186</f>
        <v>0.23889154323936934</v>
      </c>
      <c r="I12" s="61" t="s">
        <v>146</v>
      </c>
    </row>
    <row r="13" spans="1:9" ht="16.5" customHeight="1" thickBot="1" x14ac:dyDescent="0.25"/>
    <row r="14" spans="1:9" ht="16.5" customHeight="1" x14ac:dyDescent="0.2">
      <c r="B14" s="231" t="s">
        <v>296</v>
      </c>
      <c r="C14" s="51" t="s">
        <v>105</v>
      </c>
      <c r="D14" s="52"/>
      <c r="E14" s="92">
        <v>1</v>
      </c>
      <c r="F14" s="54" t="s">
        <v>147</v>
      </c>
      <c r="G14" s="55" t="s">
        <v>7</v>
      </c>
      <c r="H14" s="157">
        <f>E14*1.3558</f>
        <v>1.3557999999999999</v>
      </c>
      <c r="I14" s="56" t="s">
        <v>153</v>
      </c>
    </row>
    <row r="15" spans="1:9" ht="16.5" customHeight="1" thickBot="1" x14ac:dyDescent="0.25">
      <c r="B15" s="232"/>
      <c r="C15" s="79"/>
      <c r="D15" s="14"/>
      <c r="E15" s="93">
        <v>1</v>
      </c>
      <c r="F15" s="59" t="s">
        <v>153</v>
      </c>
      <c r="G15" s="60" t="s">
        <v>7</v>
      </c>
      <c r="H15" s="166">
        <f>E15/1.3558</f>
        <v>0.73757191326154303</v>
      </c>
      <c r="I15" s="61" t="s">
        <v>147</v>
      </c>
    </row>
    <row r="16" spans="1:9" ht="16.5" customHeight="1" thickBot="1" x14ac:dyDescent="0.25"/>
    <row r="17" spans="2:9" ht="16.5" customHeight="1" x14ac:dyDescent="0.2">
      <c r="B17" s="231" t="s">
        <v>297</v>
      </c>
      <c r="C17" s="51" t="s">
        <v>106</v>
      </c>
      <c r="D17" s="52"/>
      <c r="E17" s="92">
        <v>1</v>
      </c>
      <c r="F17" s="54" t="s">
        <v>148</v>
      </c>
      <c r="G17" s="55" t="s">
        <v>7</v>
      </c>
      <c r="H17" s="157">
        <f>E17*0.7457</f>
        <v>0.74570000000000003</v>
      </c>
      <c r="I17" s="56" t="s">
        <v>152</v>
      </c>
    </row>
    <row r="18" spans="2:9" ht="16.5" customHeight="1" thickBot="1" x14ac:dyDescent="0.25">
      <c r="B18" s="232"/>
      <c r="C18" s="79"/>
      <c r="D18" s="14"/>
      <c r="E18" s="93">
        <v>1</v>
      </c>
      <c r="F18" s="59" t="s">
        <v>152</v>
      </c>
      <c r="G18" s="60" t="s">
        <v>7</v>
      </c>
      <c r="H18" s="166">
        <f>E18/0.7457</f>
        <v>1.3410218586562961</v>
      </c>
      <c r="I18" s="61" t="s">
        <v>148</v>
      </c>
    </row>
    <row r="19" spans="2:9" ht="16.5" customHeight="1" thickBot="1" x14ac:dyDescent="0.25"/>
    <row r="20" spans="2:9" ht="16.5" customHeight="1" x14ac:dyDescent="0.2">
      <c r="B20" s="231" t="s">
        <v>298</v>
      </c>
      <c r="C20" s="51" t="s">
        <v>107</v>
      </c>
      <c r="D20" s="52"/>
      <c r="E20" s="92">
        <v>1</v>
      </c>
      <c r="F20" s="54" t="s">
        <v>148</v>
      </c>
      <c r="G20" s="55" t="s">
        <v>7</v>
      </c>
      <c r="H20" s="184">
        <f>E20*2684600</f>
        <v>2684600</v>
      </c>
      <c r="I20" s="56" t="s">
        <v>153</v>
      </c>
    </row>
    <row r="21" spans="2:9" ht="16.5" customHeight="1" thickBot="1" x14ac:dyDescent="0.25">
      <c r="B21" s="232"/>
      <c r="C21" s="79"/>
      <c r="D21" s="14"/>
      <c r="E21" s="93">
        <v>1</v>
      </c>
      <c r="F21" s="59" t="s">
        <v>153</v>
      </c>
      <c r="G21" s="60" t="s">
        <v>7</v>
      </c>
      <c r="H21" s="168">
        <f>E21/2684600</f>
        <v>3.7249497131788723E-7</v>
      </c>
      <c r="I21" s="61" t="s">
        <v>148</v>
      </c>
    </row>
    <row r="22" spans="2:9" ht="16.5" customHeight="1" thickBot="1" x14ac:dyDescent="0.25"/>
    <row r="23" spans="2:9" ht="16.5" customHeight="1" x14ac:dyDescent="0.2">
      <c r="B23" s="231" t="s">
        <v>299</v>
      </c>
      <c r="C23" s="51" t="s">
        <v>108</v>
      </c>
      <c r="D23" s="52"/>
      <c r="E23" s="92">
        <v>1</v>
      </c>
      <c r="F23" s="54" t="s">
        <v>149</v>
      </c>
      <c r="G23" s="55" t="s">
        <v>7</v>
      </c>
      <c r="H23" s="153">
        <f t="shared" ref="H23:H30" si="0">E23*1</f>
        <v>1</v>
      </c>
      <c r="I23" s="56" t="s">
        <v>154</v>
      </c>
    </row>
    <row r="24" spans="2:9" ht="16.5" customHeight="1" thickBot="1" x14ac:dyDescent="0.25">
      <c r="B24" s="232"/>
      <c r="C24" s="79"/>
      <c r="D24" s="14"/>
      <c r="E24" s="93">
        <v>1</v>
      </c>
      <c r="F24" s="59" t="s">
        <v>154</v>
      </c>
      <c r="G24" s="60" t="s">
        <v>7</v>
      </c>
      <c r="H24" s="155">
        <f t="shared" si="0"/>
        <v>1</v>
      </c>
      <c r="I24" s="61" t="s">
        <v>149</v>
      </c>
    </row>
    <row r="25" spans="2:9" ht="16.5" customHeight="1" thickBot="1" x14ac:dyDescent="0.25"/>
    <row r="26" spans="2:9" ht="16.5" customHeight="1" x14ac:dyDescent="0.2">
      <c r="B26" s="231" t="s">
        <v>300</v>
      </c>
      <c r="C26" s="51" t="s">
        <v>109</v>
      </c>
      <c r="D26" s="52"/>
      <c r="E26" s="92">
        <v>1</v>
      </c>
      <c r="F26" s="54" t="s">
        <v>149</v>
      </c>
      <c r="G26" s="55" t="s">
        <v>7</v>
      </c>
      <c r="H26" s="153">
        <f t="shared" si="0"/>
        <v>1</v>
      </c>
      <c r="I26" s="56" t="s">
        <v>155</v>
      </c>
    </row>
    <row r="27" spans="2:9" ht="16.5" customHeight="1" thickBot="1" x14ac:dyDescent="0.25">
      <c r="B27" s="232"/>
      <c r="C27" s="79"/>
      <c r="D27" s="14"/>
      <c r="E27" s="93">
        <v>1</v>
      </c>
      <c r="F27" s="59" t="s">
        <v>155</v>
      </c>
      <c r="G27" s="60" t="s">
        <v>7</v>
      </c>
      <c r="H27" s="155">
        <f t="shared" si="0"/>
        <v>1</v>
      </c>
      <c r="I27" s="61" t="s">
        <v>149</v>
      </c>
    </row>
    <row r="28" spans="2:9" ht="16.5" customHeight="1" thickBot="1" x14ac:dyDescent="0.25"/>
    <row r="29" spans="2:9" ht="16.5" customHeight="1" x14ac:dyDescent="0.2">
      <c r="B29" s="231" t="s">
        <v>301</v>
      </c>
      <c r="C29" s="51" t="s">
        <v>110</v>
      </c>
      <c r="D29" s="52"/>
      <c r="E29" s="92">
        <v>1</v>
      </c>
      <c r="F29" s="54" t="s">
        <v>149</v>
      </c>
      <c r="G29" s="55" t="s">
        <v>7</v>
      </c>
      <c r="H29" s="153">
        <f t="shared" si="0"/>
        <v>1</v>
      </c>
      <c r="I29" s="56" t="s">
        <v>156</v>
      </c>
    </row>
    <row r="30" spans="2:9" ht="16.5" customHeight="1" thickBot="1" x14ac:dyDescent="0.25">
      <c r="B30" s="232"/>
      <c r="C30" s="79"/>
      <c r="D30" s="14"/>
      <c r="E30" s="93">
        <v>1</v>
      </c>
      <c r="F30" s="59" t="s">
        <v>156</v>
      </c>
      <c r="G30" s="60" t="s">
        <v>7</v>
      </c>
      <c r="H30" s="155">
        <f t="shared" si="0"/>
        <v>1</v>
      </c>
      <c r="I30" s="61" t="s">
        <v>149</v>
      </c>
    </row>
    <row r="31" spans="2:9" ht="16.5" customHeight="1" thickBot="1" x14ac:dyDescent="0.25"/>
    <row r="32" spans="2:9" ht="16.5" customHeight="1" x14ac:dyDescent="0.2">
      <c r="B32" s="231" t="s">
        <v>302</v>
      </c>
      <c r="C32" s="51" t="s">
        <v>111</v>
      </c>
      <c r="D32" s="52"/>
      <c r="E32" s="92">
        <v>1</v>
      </c>
      <c r="F32" s="54" t="s">
        <v>150</v>
      </c>
      <c r="G32" s="55" t="s">
        <v>7</v>
      </c>
      <c r="H32" s="157">
        <f>E32*3.9683</f>
        <v>3.9683000000000002</v>
      </c>
      <c r="I32" s="56" t="s">
        <v>145</v>
      </c>
    </row>
    <row r="33" spans="2:9" ht="16.5" customHeight="1" thickBot="1" x14ac:dyDescent="0.25">
      <c r="B33" s="232"/>
      <c r="C33" s="79"/>
      <c r="D33" s="14"/>
      <c r="E33" s="93">
        <v>1</v>
      </c>
      <c r="F33" s="59" t="s">
        <v>145</v>
      </c>
      <c r="G33" s="60" t="s">
        <v>7</v>
      </c>
      <c r="H33" s="169">
        <f>E33/3.9683</f>
        <v>0.25199707683390871</v>
      </c>
      <c r="I33" s="61" t="s">
        <v>150</v>
      </c>
    </row>
    <row r="34" spans="2:9" ht="16.5" customHeight="1" thickBot="1" x14ac:dyDescent="0.25"/>
    <row r="35" spans="2:9" ht="16.5" customHeight="1" x14ac:dyDescent="0.2">
      <c r="B35" s="231" t="s">
        <v>303</v>
      </c>
      <c r="C35" s="51" t="s">
        <v>112</v>
      </c>
      <c r="D35" s="52"/>
      <c r="E35" s="92">
        <v>1</v>
      </c>
      <c r="F35" s="54" t="s">
        <v>151</v>
      </c>
      <c r="G35" s="55" t="s">
        <v>7</v>
      </c>
      <c r="H35" s="192">
        <f>E35*0.947813</f>
        <v>0.94781300000000002</v>
      </c>
      <c r="I35" s="56" t="s">
        <v>145</v>
      </c>
    </row>
    <row r="36" spans="2:9" ht="16.5" customHeight="1" thickBot="1" x14ac:dyDescent="0.25">
      <c r="B36" s="232"/>
      <c r="C36" s="79"/>
      <c r="D36" s="14"/>
      <c r="E36" s="93">
        <v>1</v>
      </c>
      <c r="F36" s="59" t="s">
        <v>145</v>
      </c>
      <c r="G36" s="60" t="s">
        <v>7</v>
      </c>
      <c r="H36" s="193">
        <f>E36/0.947813</f>
        <v>1.055060439137256</v>
      </c>
      <c r="I36" s="61" t="s">
        <v>151</v>
      </c>
    </row>
    <row r="37" spans="2:9" ht="16.5" customHeight="1" thickBot="1" x14ac:dyDescent="0.25"/>
    <row r="38" spans="2:9" ht="16.5" customHeight="1" x14ac:dyDescent="0.2">
      <c r="B38" s="231" t="s">
        <v>304</v>
      </c>
      <c r="C38" s="51" t="s">
        <v>113</v>
      </c>
      <c r="D38" s="52"/>
      <c r="E38" s="92">
        <v>1</v>
      </c>
      <c r="F38" s="54" t="s">
        <v>152</v>
      </c>
      <c r="G38" s="55" t="s">
        <v>7</v>
      </c>
      <c r="H38" s="184">
        <f>E38*3600000</f>
        <v>3600000</v>
      </c>
      <c r="I38" s="56" t="s">
        <v>153</v>
      </c>
    </row>
    <row r="39" spans="2:9" ht="16.5" customHeight="1" thickBot="1" x14ac:dyDescent="0.25">
      <c r="B39" s="232"/>
      <c r="C39" s="79"/>
      <c r="D39" s="14"/>
      <c r="E39" s="93">
        <v>1</v>
      </c>
      <c r="F39" s="59" t="s">
        <v>153</v>
      </c>
      <c r="G39" s="60" t="s">
        <v>7</v>
      </c>
      <c r="H39" s="194">
        <f>E39/3600000</f>
        <v>2.7777777777777776E-7</v>
      </c>
      <c r="I39" s="61" t="s">
        <v>152</v>
      </c>
    </row>
    <row r="40" spans="2:9" ht="16.5" customHeight="1" thickBot="1" x14ac:dyDescent="0.25"/>
    <row r="41" spans="2:9" ht="16.5" customHeight="1" x14ac:dyDescent="0.2">
      <c r="B41" s="231" t="s">
        <v>305</v>
      </c>
      <c r="C41" s="51" t="s">
        <v>114</v>
      </c>
      <c r="D41" s="52"/>
      <c r="E41" s="92">
        <v>1</v>
      </c>
      <c r="F41" s="54" t="s">
        <v>152</v>
      </c>
      <c r="G41" s="55" t="s">
        <v>7</v>
      </c>
      <c r="H41" s="167">
        <f>E41*3412</f>
        <v>3412</v>
      </c>
      <c r="I41" s="56" t="s">
        <v>145</v>
      </c>
    </row>
    <row r="42" spans="2:9" ht="16.5" customHeight="1" thickBot="1" x14ac:dyDescent="0.25">
      <c r="B42" s="232"/>
      <c r="C42" s="79"/>
      <c r="D42" s="14"/>
      <c r="E42" s="93">
        <v>1</v>
      </c>
      <c r="F42" s="59" t="s">
        <v>145</v>
      </c>
      <c r="G42" s="60" t="s">
        <v>7</v>
      </c>
      <c r="H42" s="195">
        <f>E42/3412</f>
        <v>2.9308323563892143E-4</v>
      </c>
      <c r="I42" s="61" t="s">
        <v>152</v>
      </c>
    </row>
  </sheetData>
  <sheetProtection password="D910" sheet="1" objects="1" scenarios="1" selectLockedCells="1"/>
  <mergeCells count="17">
    <mergeCell ref="B38:B39"/>
    <mergeCell ref="B41:B42"/>
    <mergeCell ref="B20:B21"/>
    <mergeCell ref="B23:B24"/>
    <mergeCell ref="B26:B27"/>
    <mergeCell ref="B29:B30"/>
    <mergeCell ref="B8:B9"/>
    <mergeCell ref="B11:B12"/>
    <mergeCell ref="B14:B15"/>
    <mergeCell ref="B17:B18"/>
    <mergeCell ref="B35:B36"/>
    <mergeCell ref="B32:B33"/>
    <mergeCell ref="E4:F4"/>
    <mergeCell ref="H4:I4"/>
    <mergeCell ref="F2:I2"/>
    <mergeCell ref="B2:E2"/>
    <mergeCell ref="B5:B6"/>
  </mergeCells>
  <phoneticPr fontId="0" type="noConversion"/>
  <hyperlinks>
    <hyperlink ref="F2" location="Main!A1" display="MAIN SHEET"/>
  </hyperlinks>
  <pageMargins left="0.25" right="0.25" top="0.75" bottom="0.75" header="0.3" footer="0.3"/>
  <pageSetup orientation="portrait" horizontalDpi="1200" verticalDpi="1200" r:id="rId1"/>
  <headerFooter alignWithMargins="0"/>
  <webPublishItems count="1">
    <webPublishItem id="21712" divId="Units HVAC_21712" sourceType="sheet" destinationFile="C:\Users\jim\Desktop\Replct\Energy.htm"/>
  </webPublishItem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33"/>
  <sheetViews>
    <sheetView showGridLines="0" workbookViewId="0">
      <selection activeCell="E14" sqref="E14"/>
    </sheetView>
  </sheetViews>
  <sheetFormatPr defaultRowHeight="15" customHeight="1" x14ac:dyDescent="0.2"/>
  <cols>
    <col min="1" max="1" width="4.7109375" customWidth="1"/>
    <col min="2" max="2" width="20" customWidth="1"/>
    <col min="3" max="3" width="26.42578125" customWidth="1"/>
    <col min="4" max="4" width="3.28515625" customWidth="1"/>
    <col min="5" max="5" width="10.140625" customWidth="1"/>
    <col min="7" max="7" width="3.85546875" customWidth="1"/>
    <col min="8" max="8" width="10.140625" bestFit="1" customWidth="1"/>
    <col min="9" max="9" width="8.5703125" customWidth="1"/>
  </cols>
  <sheetData>
    <row r="1" spans="1:9" ht="9" customHeight="1" thickBot="1" x14ac:dyDescent="0.25">
      <c r="A1" s="37"/>
    </row>
    <row r="2" spans="1:9" ht="21" customHeight="1" thickBot="1" x14ac:dyDescent="0.25">
      <c r="A2" s="37"/>
      <c r="B2" s="37"/>
      <c r="C2" s="35" t="s">
        <v>100</v>
      </c>
      <c r="F2" s="233" t="s">
        <v>211</v>
      </c>
      <c r="G2" s="234"/>
      <c r="H2" s="234"/>
      <c r="I2" s="235"/>
    </row>
    <row r="3" spans="1:9" ht="15" customHeight="1" thickTop="1" x14ac:dyDescent="0.2">
      <c r="E3" s="1"/>
    </row>
    <row r="4" spans="1:9" ht="15" customHeight="1" thickBot="1" x14ac:dyDescent="0.25">
      <c r="B4" s="50" t="s">
        <v>232</v>
      </c>
      <c r="C4" s="50" t="s">
        <v>42</v>
      </c>
      <c r="E4" s="238" t="s">
        <v>101</v>
      </c>
      <c r="F4" s="238"/>
      <c r="H4" s="238" t="s">
        <v>8</v>
      </c>
      <c r="I4" s="238"/>
    </row>
    <row r="5" spans="1:9" ht="15" customHeight="1" x14ac:dyDescent="0.2">
      <c r="B5" s="231" t="s">
        <v>306</v>
      </c>
      <c r="C5" s="51" t="s">
        <v>115</v>
      </c>
      <c r="D5" s="52"/>
      <c r="E5" s="92">
        <v>1</v>
      </c>
      <c r="F5" s="54" t="s">
        <v>160</v>
      </c>
      <c r="G5" s="55" t="s">
        <v>7</v>
      </c>
      <c r="H5" s="172">
        <f>E5*0.001</f>
        <v>1E-3</v>
      </c>
      <c r="I5" s="56" t="s">
        <v>164</v>
      </c>
    </row>
    <row r="6" spans="1:9" ht="15" customHeight="1" thickBot="1" x14ac:dyDescent="0.25">
      <c r="B6" s="232"/>
      <c r="C6" s="79" t="s">
        <v>169</v>
      </c>
      <c r="D6" s="14"/>
      <c r="E6" s="93">
        <v>1</v>
      </c>
      <c r="F6" s="59" t="s">
        <v>164</v>
      </c>
      <c r="G6" s="60" t="s">
        <v>7</v>
      </c>
      <c r="H6" s="196">
        <f>E6/0.001</f>
        <v>1000</v>
      </c>
      <c r="I6" s="61" t="s">
        <v>160</v>
      </c>
    </row>
    <row r="7" spans="1:9" ht="15" customHeight="1" thickBot="1" x14ac:dyDescent="0.25"/>
    <row r="8" spans="1:9" ht="15" customHeight="1" x14ac:dyDescent="0.2">
      <c r="B8" s="231" t="s">
        <v>307</v>
      </c>
      <c r="C8" s="51" t="s">
        <v>116</v>
      </c>
      <c r="D8" s="52"/>
      <c r="E8" s="92">
        <v>1</v>
      </c>
      <c r="F8" s="54" t="s">
        <v>160</v>
      </c>
      <c r="G8" s="55" t="s">
        <v>7</v>
      </c>
      <c r="H8" s="153">
        <f>E8*0.293</f>
        <v>0.29299999999999998</v>
      </c>
      <c r="I8" s="56" t="s">
        <v>166</v>
      </c>
    </row>
    <row r="9" spans="1:9" ht="15" customHeight="1" thickBot="1" x14ac:dyDescent="0.25">
      <c r="B9" s="232"/>
      <c r="C9" s="79" t="s">
        <v>308</v>
      </c>
      <c r="D9" s="14"/>
      <c r="E9" s="93">
        <v>1</v>
      </c>
      <c r="F9" s="59" t="s">
        <v>166</v>
      </c>
      <c r="G9" s="60" t="s">
        <v>7</v>
      </c>
      <c r="H9" s="166">
        <f>E9/0.293</f>
        <v>3.4129692832764507</v>
      </c>
      <c r="I9" s="61" t="s">
        <v>160</v>
      </c>
    </row>
    <row r="10" spans="1:9" ht="15" customHeight="1" thickBot="1" x14ac:dyDescent="0.25"/>
    <row r="11" spans="1:9" ht="15" customHeight="1" x14ac:dyDescent="0.2">
      <c r="B11" s="231" t="s">
        <v>309</v>
      </c>
      <c r="C11" s="51" t="s">
        <v>117</v>
      </c>
      <c r="D11" s="52"/>
      <c r="E11" s="92">
        <v>1</v>
      </c>
      <c r="F11" s="54" t="s">
        <v>161</v>
      </c>
      <c r="G11" s="55" t="s">
        <v>7</v>
      </c>
      <c r="H11" s="183">
        <f>E11*1055.1</f>
        <v>1055.0999999999999</v>
      </c>
      <c r="I11" s="56" t="s">
        <v>166</v>
      </c>
    </row>
    <row r="12" spans="1:9" ht="15" customHeight="1" thickBot="1" x14ac:dyDescent="0.25">
      <c r="B12" s="232"/>
      <c r="C12" s="79"/>
      <c r="D12" s="14"/>
      <c r="E12" s="93">
        <v>1</v>
      </c>
      <c r="F12" s="59" t="s">
        <v>166</v>
      </c>
      <c r="G12" s="60" t="s">
        <v>7</v>
      </c>
      <c r="H12" s="205" t="s">
        <v>451</v>
      </c>
      <c r="I12" s="61" t="s">
        <v>161</v>
      </c>
    </row>
    <row r="13" spans="1:9" ht="15" customHeight="1" thickBot="1" x14ac:dyDescent="0.25"/>
    <row r="14" spans="1:9" ht="15" customHeight="1" x14ac:dyDescent="0.2">
      <c r="B14" s="231" t="s">
        <v>310</v>
      </c>
      <c r="C14" s="51" t="s">
        <v>118</v>
      </c>
      <c r="D14" s="52"/>
      <c r="E14" s="92">
        <v>1</v>
      </c>
      <c r="F14" s="54" t="s">
        <v>162</v>
      </c>
      <c r="G14" s="55" t="s">
        <v>7</v>
      </c>
      <c r="H14" s="167">
        <f>E14*0.746</f>
        <v>0.746</v>
      </c>
      <c r="I14" s="56" t="s">
        <v>163</v>
      </c>
    </row>
    <row r="15" spans="1:9" ht="15" customHeight="1" thickBot="1" x14ac:dyDescent="0.25">
      <c r="B15" s="232"/>
      <c r="C15" s="79" t="s">
        <v>354</v>
      </c>
      <c r="D15" s="14"/>
      <c r="E15" s="93">
        <v>1</v>
      </c>
      <c r="F15" s="59" t="s">
        <v>163</v>
      </c>
      <c r="G15" s="60" t="s">
        <v>7</v>
      </c>
      <c r="H15" s="155">
        <f>E15/0.746</f>
        <v>1.3404825737265416</v>
      </c>
      <c r="I15" s="61" t="s">
        <v>162</v>
      </c>
    </row>
    <row r="16" spans="1:9" ht="15" customHeight="1" thickBot="1" x14ac:dyDescent="0.25"/>
    <row r="17" spans="2:9" ht="15" customHeight="1" x14ac:dyDescent="0.2">
      <c r="B17" s="231" t="s">
        <v>311</v>
      </c>
      <c r="C17" s="51" t="s">
        <v>119</v>
      </c>
      <c r="D17" s="52"/>
      <c r="E17" s="92">
        <v>1</v>
      </c>
      <c r="F17" s="54" t="s">
        <v>162</v>
      </c>
      <c r="G17" s="55" t="s">
        <v>7</v>
      </c>
      <c r="H17" s="183">
        <f>E17*550</f>
        <v>550</v>
      </c>
      <c r="I17" s="56" t="s">
        <v>172</v>
      </c>
    </row>
    <row r="18" spans="2:9" ht="15" customHeight="1" thickBot="1" x14ac:dyDescent="0.25">
      <c r="B18" s="232"/>
      <c r="C18" s="79"/>
      <c r="D18" s="14"/>
      <c r="E18" s="93">
        <v>1</v>
      </c>
      <c r="F18" s="59" t="s">
        <v>172</v>
      </c>
      <c r="G18" s="60" t="s">
        <v>7</v>
      </c>
      <c r="H18" s="155">
        <f>E18/550</f>
        <v>1.8181818181818182E-3</v>
      </c>
      <c r="I18" s="61" t="s">
        <v>162</v>
      </c>
    </row>
    <row r="19" spans="2:9" ht="15" customHeight="1" thickBot="1" x14ac:dyDescent="0.25"/>
    <row r="20" spans="2:9" ht="15" customHeight="1" x14ac:dyDescent="0.2">
      <c r="B20" s="231" t="s">
        <v>312</v>
      </c>
      <c r="C20" s="51" t="s">
        <v>120</v>
      </c>
      <c r="D20" s="52"/>
      <c r="E20" s="92">
        <v>1</v>
      </c>
      <c r="F20" s="54" t="s">
        <v>162</v>
      </c>
      <c r="G20" s="55" t="s">
        <v>7</v>
      </c>
      <c r="H20" s="217" t="s">
        <v>451</v>
      </c>
      <c r="I20" s="56" t="s">
        <v>173</v>
      </c>
    </row>
    <row r="21" spans="2:9" ht="15" customHeight="1" thickBot="1" x14ac:dyDescent="0.25">
      <c r="B21" s="232"/>
      <c r="C21" s="79"/>
      <c r="D21" s="14"/>
      <c r="E21" s="93">
        <v>1</v>
      </c>
      <c r="F21" s="59" t="s">
        <v>173</v>
      </c>
      <c r="G21" s="60" t="s">
        <v>7</v>
      </c>
      <c r="H21" s="155">
        <f>E21/33</f>
        <v>3.0303030303030304E-2</v>
      </c>
      <c r="I21" s="61" t="s">
        <v>162</v>
      </c>
    </row>
    <row r="22" spans="2:9" ht="15" customHeight="1" thickBot="1" x14ac:dyDescent="0.25"/>
    <row r="23" spans="2:9" ht="15" customHeight="1" x14ac:dyDescent="0.2">
      <c r="B23" s="231" t="s">
        <v>313</v>
      </c>
      <c r="C23" s="51" t="s">
        <v>121</v>
      </c>
      <c r="D23" s="52"/>
      <c r="E23" s="92">
        <v>1</v>
      </c>
      <c r="F23" s="54" t="s">
        <v>163</v>
      </c>
      <c r="G23" s="55" t="s">
        <v>7</v>
      </c>
      <c r="H23" s="184">
        <f>E23*1000</f>
        <v>1000</v>
      </c>
      <c r="I23" s="56" t="s">
        <v>171</v>
      </c>
    </row>
    <row r="24" spans="2:9" ht="15" customHeight="1" thickBot="1" x14ac:dyDescent="0.25">
      <c r="B24" s="232"/>
      <c r="C24" s="79" t="s">
        <v>356</v>
      </c>
      <c r="D24" s="14"/>
      <c r="E24" s="93">
        <v>1</v>
      </c>
      <c r="F24" s="59" t="s">
        <v>171</v>
      </c>
      <c r="G24" s="60" t="s">
        <v>7</v>
      </c>
      <c r="H24" s="166">
        <f>E24/1000</f>
        <v>1E-3</v>
      </c>
      <c r="I24" s="61" t="s">
        <v>163</v>
      </c>
    </row>
    <row r="25" spans="2:9" ht="15" customHeight="1" thickBot="1" x14ac:dyDescent="0.25"/>
    <row r="26" spans="2:9" ht="15" customHeight="1" x14ac:dyDescent="0.2">
      <c r="B26" s="231" t="s">
        <v>314</v>
      </c>
      <c r="C26" s="51" t="s">
        <v>168</v>
      </c>
      <c r="D26" s="52"/>
      <c r="E26" s="92">
        <v>1</v>
      </c>
      <c r="F26" s="54" t="s">
        <v>163</v>
      </c>
      <c r="G26" s="55" t="s">
        <v>7</v>
      </c>
      <c r="H26" s="184">
        <f>E26*3412</f>
        <v>3412</v>
      </c>
      <c r="I26" s="56" t="s">
        <v>160</v>
      </c>
    </row>
    <row r="27" spans="2:9" ht="15" customHeight="1" thickBot="1" x14ac:dyDescent="0.25">
      <c r="B27" s="232"/>
      <c r="C27" s="79"/>
      <c r="D27" s="14"/>
      <c r="E27" s="93">
        <v>1</v>
      </c>
      <c r="F27" s="59" t="s">
        <v>160</v>
      </c>
      <c r="G27" s="60" t="s">
        <v>7</v>
      </c>
      <c r="H27" s="166">
        <f>E27/3412</f>
        <v>2.9308323563892143E-4</v>
      </c>
      <c r="I27" s="61" t="s">
        <v>163</v>
      </c>
    </row>
    <row r="28" spans="2:9" ht="15" customHeight="1" thickBot="1" x14ac:dyDescent="0.25"/>
    <row r="29" spans="2:9" ht="15" customHeight="1" x14ac:dyDescent="0.2">
      <c r="B29" s="231" t="s">
        <v>315</v>
      </c>
      <c r="C29" s="51" t="s">
        <v>170</v>
      </c>
      <c r="D29" s="52"/>
      <c r="E29" s="92">
        <v>1</v>
      </c>
      <c r="F29" s="54" t="s">
        <v>165</v>
      </c>
      <c r="G29" s="55" t="s">
        <v>7</v>
      </c>
      <c r="H29" s="184">
        <f>E29*100000</f>
        <v>100000</v>
      </c>
      <c r="I29" s="56" t="s">
        <v>160</v>
      </c>
    </row>
    <row r="30" spans="2:9" ht="15" customHeight="1" thickBot="1" x14ac:dyDescent="0.25">
      <c r="B30" s="232"/>
      <c r="C30" s="79"/>
      <c r="D30" s="14"/>
      <c r="E30" s="93">
        <v>1</v>
      </c>
      <c r="F30" s="59" t="s">
        <v>160</v>
      </c>
      <c r="G30" s="60" t="s">
        <v>7</v>
      </c>
      <c r="H30" s="155">
        <f>E30/100000</f>
        <v>1.0000000000000001E-5</v>
      </c>
      <c r="I30" s="61" t="s">
        <v>165</v>
      </c>
    </row>
    <row r="31" spans="2:9" ht="15" customHeight="1" thickBot="1" x14ac:dyDescent="0.25"/>
    <row r="32" spans="2:9" ht="15" customHeight="1" x14ac:dyDescent="0.2">
      <c r="B32" s="231" t="s">
        <v>316</v>
      </c>
      <c r="C32" s="51" t="s">
        <v>122</v>
      </c>
      <c r="D32" s="52"/>
      <c r="E32" s="92">
        <v>1</v>
      </c>
      <c r="F32" s="54" t="s">
        <v>166</v>
      </c>
      <c r="G32" s="55" t="s">
        <v>7</v>
      </c>
      <c r="H32" s="167">
        <f>E32*1</f>
        <v>1</v>
      </c>
      <c r="I32" s="56" t="s">
        <v>167</v>
      </c>
    </row>
    <row r="33" spans="2:9" ht="15" customHeight="1" thickBot="1" x14ac:dyDescent="0.25">
      <c r="B33" s="232"/>
      <c r="C33" s="79" t="s">
        <v>355</v>
      </c>
      <c r="D33" s="14"/>
      <c r="E33" s="93">
        <v>1</v>
      </c>
      <c r="F33" s="59" t="s">
        <v>167</v>
      </c>
      <c r="G33" s="60" t="s">
        <v>7</v>
      </c>
      <c r="H33" s="155">
        <f>E33/1</f>
        <v>1</v>
      </c>
      <c r="I33" s="61" t="s">
        <v>166</v>
      </c>
    </row>
  </sheetData>
  <sheetProtection password="D910" sheet="1" objects="1" scenarios="1" selectLockedCells="1"/>
  <mergeCells count="13">
    <mergeCell ref="F2:I2"/>
    <mergeCell ref="B23:B24"/>
    <mergeCell ref="B26:B27"/>
    <mergeCell ref="B29:B30"/>
    <mergeCell ref="B32:B33"/>
    <mergeCell ref="B8:B9"/>
    <mergeCell ref="B11:B12"/>
    <mergeCell ref="B14:B15"/>
    <mergeCell ref="B17:B18"/>
    <mergeCell ref="B20:B21"/>
    <mergeCell ref="E4:F4"/>
    <mergeCell ref="H4:I4"/>
    <mergeCell ref="B5:B6"/>
  </mergeCells>
  <phoneticPr fontId="0" type="noConversion"/>
  <hyperlinks>
    <hyperlink ref="F2" location="Main!A1" display="MAIN SHEET"/>
  </hyperlinks>
  <pageMargins left="0.25" right="0.25" top="0.75" bottom="0.75" header="0.3" footer="0.3"/>
  <pageSetup orientation="portrait" horizontalDpi="1200" verticalDpi="1200" r:id="rId1"/>
  <headerFooter alignWithMargins="0"/>
  <webPublishItems count="1">
    <webPublishItem id="23657" divId="Units HVAC_23657" sourceType="sheet" destinationFile="C:\Users\jim\Desktop\Replct\Power.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1"/>
  <sheetViews>
    <sheetView showGridLines="0" workbookViewId="0"/>
  </sheetViews>
  <sheetFormatPr defaultRowHeight="19.5" customHeight="1" x14ac:dyDescent="0.2"/>
  <cols>
    <col min="1" max="1" width="4" customWidth="1"/>
    <col min="2" max="2" width="3.7109375" customWidth="1"/>
    <col min="3" max="3" width="9.42578125" customWidth="1"/>
    <col min="4" max="4" width="0" hidden="1" customWidth="1"/>
    <col min="5" max="5" width="4.140625" customWidth="1"/>
    <col min="6" max="6" width="10.7109375" customWidth="1"/>
    <col min="7" max="9" width="3.28515625" customWidth="1"/>
    <col min="10" max="11" width="10.140625" customWidth="1"/>
    <col min="12" max="12" width="11" hidden="1" customWidth="1"/>
    <col min="13" max="13" width="4.42578125" customWidth="1"/>
    <col min="14" max="14" width="16.5703125" customWidth="1"/>
    <col min="15" max="16" width="3.28515625" customWidth="1"/>
  </cols>
  <sheetData>
    <row r="1" spans="1:16" ht="19.5" customHeight="1" thickBot="1" x14ac:dyDescent="0.25">
      <c r="A1" s="37"/>
    </row>
    <row r="2" spans="1:16" ht="19.5" customHeight="1" thickBot="1" x14ac:dyDescent="0.35">
      <c r="A2" s="37"/>
      <c r="C2" s="143"/>
      <c r="D2" s="143"/>
      <c r="E2" s="143"/>
      <c r="F2" s="49" t="s">
        <v>447</v>
      </c>
      <c r="G2" s="143"/>
      <c r="H2" s="143"/>
      <c r="I2" s="143"/>
      <c r="J2" s="143"/>
      <c r="M2" s="247" t="s">
        <v>211</v>
      </c>
      <c r="N2" s="248"/>
      <c r="O2" s="249"/>
    </row>
    <row r="3" spans="1:16" ht="19.5" customHeight="1" thickTop="1" x14ac:dyDescent="0.2">
      <c r="A3" s="41"/>
      <c r="B3" s="42"/>
      <c r="F3" s="18"/>
      <c r="H3" s="35"/>
    </row>
    <row r="4" spans="1:16" ht="19.5" customHeight="1" x14ac:dyDescent="0.2">
      <c r="A4" s="41"/>
      <c r="B4" s="252" t="s">
        <v>445</v>
      </c>
      <c r="C4" s="253"/>
      <c r="D4" s="253"/>
      <c r="E4" s="253"/>
      <c r="F4" s="253"/>
      <c r="G4" s="254"/>
      <c r="H4" s="118"/>
      <c r="I4" s="252" t="s">
        <v>446</v>
      </c>
      <c r="J4" s="253"/>
      <c r="K4" s="253"/>
      <c r="L4" s="253"/>
      <c r="M4" s="253"/>
      <c r="N4" s="253"/>
      <c r="O4" s="254"/>
    </row>
    <row r="5" spans="1:16" ht="19.5" customHeight="1" x14ac:dyDescent="0.2">
      <c r="A5" s="12"/>
      <c r="B5" s="122"/>
      <c r="C5" s="12"/>
      <c r="D5" s="12"/>
      <c r="E5" s="12"/>
      <c r="F5" s="12"/>
      <c r="G5" s="123"/>
      <c r="H5" s="12"/>
      <c r="I5" s="122"/>
      <c r="J5" s="12"/>
      <c r="K5" s="12"/>
      <c r="L5" s="12"/>
      <c r="M5" s="12"/>
      <c r="N5" s="12"/>
      <c r="O5" s="123"/>
      <c r="P5" s="12"/>
    </row>
    <row r="6" spans="1:16" ht="19.5" customHeight="1" x14ac:dyDescent="0.2">
      <c r="A6" s="12"/>
      <c r="B6" s="122"/>
      <c r="C6" s="125" t="s">
        <v>208</v>
      </c>
      <c r="D6" s="121"/>
      <c r="E6" s="121"/>
      <c r="F6" s="12"/>
      <c r="G6" s="123"/>
      <c r="H6" s="12"/>
      <c r="I6" s="122"/>
      <c r="J6" s="126" t="s">
        <v>209</v>
      </c>
      <c r="K6" s="124" t="s">
        <v>208</v>
      </c>
      <c r="L6" s="12"/>
      <c r="M6" s="12"/>
      <c r="N6" s="12"/>
      <c r="O6" s="123"/>
      <c r="P6" s="12"/>
    </row>
    <row r="7" spans="1:16" ht="19.5" customHeight="1" x14ac:dyDescent="0.2">
      <c r="A7" s="12"/>
      <c r="B7" s="122"/>
      <c r="C7" s="39">
        <v>56</v>
      </c>
      <c r="D7" s="127">
        <f>C7</f>
        <v>56</v>
      </c>
      <c r="E7" s="38" t="s">
        <v>7</v>
      </c>
      <c r="F7" s="197" t="str">
        <f t="shared" ref="F7:F10" si="0">IF(C7="", "", IF(C7&lt;12,C7&amp;"""", INT(C7/12) &amp;"' - "&amp;MOD(C7,12)&amp;""""))</f>
        <v>4' - 8"</v>
      </c>
      <c r="G7" s="128"/>
      <c r="H7" s="129"/>
      <c r="I7" s="122"/>
      <c r="J7" s="39">
        <v>1</v>
      </c>
      <c r="K7" s="40">
        <v>6</v>
      </c>
      <c r="L7" s="130">
        <f>IF(AND(J7="",K7=""), "",J7*12+K7)</f>
        <v>18</v>
      </c>
      <c r="M7" s="38" t="s">
        <v>7</v>
      </c>
      <c r="N7" s="197" t="str">
        <f t="shared" ref="N7:N10" si="1">IF(L7="", "", IF(L7&lt;12,L7&amp;"""", INT(L7/12) &amp;"' - "&amp;MOD(L7,12)&amp;""""))</f>
        <v>1' - 6"</v>
      </c>
      <c r="O7" s="128"/>
      <c r="P7" s="129"/>
    </row>
    <row r="8" spans="1:16" ht="19.5" customHeight="1" x14ac:dyDescent="0.2">
      <c r="A8" s="12"/>
      <c r="B8" s="122"/>
      <c r="C8" s="134">
        <v>98</v>
      </c>
      <c r="D8" s="135">
        <f t="shared" ref="D8:D10" si="2">C8</f>
        <v>98</v>
      </c>
      <c r="E8" s="136" t="s">
        <v>7</v>
      </c>
      <c r="F8" s="198" t="str">
        <f t="shared" si="0"/>
        <v>8' - 2"</v>
      </c>
      <c r="G8" s="128"/>
      <c r="H8" s="129"/>
      <c r="I8" s="122"/>
      <c r="J8" s="134">
        <v>2</v>
      </c>
      <c r="K8" s="137">
        <v>1</v>
      </c>
      <c r="L8" s="138">
        <f t="shared" ref="L8:L10" si="3">IF(AND(J8="",K8=""), "",J8*12+K8)</f>
        <v>25</v>
      </c>
      <c r="M8" s="136" t="s">
        <v>7</v>
      </c>
      <c r="N8" s="198" t="str">
        <f t="shared" si="1"/>
        <v>2' - 1"</v>
      </c>
      <c r="O8" s="128"/>
      <c r="P8" s="129"/>
    </row>
    <row r="9" spans="1:16" ht="19.5" customHeight="1" x14ac:dyDescent="0.2">
      <c r="A9" s="12"/>
      <c r="B9" s="122"/>
      <c r="C9" s="134">
        <v>62</v>
      </c>
      <c r="D9" s="135">
        <f t="shared" si="2"/>
        <v>62</v>
      </c>
      <c r="E9" s="136" t="s">
        <v>7</v>
      </c>
      <c r="F9" s="198" t="str">
        <f t="shared" si="0"/>
        <v>5' - 2"</v>
      </c>
      <c r="G9" s="128"/>
      <c r="H9" s="129"/>
      <c r="I9" s="122"/>
      <c r="J9" s="134">
        <v>2</v>
      </c>
      <c r="K9" s="137">
        <v>5</v>
      </c>
      <c r="L9" s="138">
        <f t="shared" si="3"/>
        <v>29</v>
      </c>
      <c r="M9" s="136" t="s">
        <v>7</v>
      </c>
      <c r="N9" s="198" t="str">
        <f t="shared" si="1"/>
        <v>2' - 5"</v>
      </c>
      <c r="O9" s="128"/>
      <c r="P9" s="129"/>
    </row>
    <row r="10" spans="1:16" ht="19.5" customHeight="1" x14ac:dyDescent="0.2">
      <c r="A10" s="12"/>
      <c r="B10" s="122"/>
      <c r="C10" s="131"/>
      <c r="D10" s="146">
        <f t="shared" si="2"/>
        <v>0</v>
      </c>
      <c r="E10" s="133" t="s">
        <v>7</v>
      </c>
      <c r="F10" s="199" t="str">
        <f t="shared" si="0"/>
        <v/>
      </c>
      <c r="G10" s="128"/>
      <c r="H10" s="129"/>
      <c r="I10" s="122"/>
      <c r="J10" s="131">
        <v>1</v>
      </c>
      <c r="K10" s="132">
        <v>6</v>
      </c>
      <c r="L10" s="142">
        <f t="shared" si="3"/>
        <v>18</v>
      </c>
      <c r="M10" s="133" t="s">
        <v>7</v>
      </c>
      <c r="N10" s="199" t="str">
        <f t="shared" si="1"/>
        <v>1' - 6"</v>
      </c>
      <c r="O10" s="128"/>
      <c r="P10" s="129"/>
    </row>
    <row r="11" spans="1:16" ht="19.5" customHeight="1" x14ac:dyDescent="0.2">
      <c r="B11" s="139"/>
      <c r="C11" s="140"/>
      <c r="D11" s="140"/>
      <c r="E11" s="140"/>
      <c r="F11" s="140"/>
      <c r="G11" s="141"/>
      <c r="I11" s="139"/>
      <c r="J11" s="140"/>
      <c r="K11" s="140"/>
      <c r="L11" s="140"/>
      <c r="M11" s="140"/>
      <c r="N11" s="140"/>
      <c r="O11" s="141"/>
    </row>
  </sheetData>
  <sheetProtection password="D910" sheet="1" objects="1" scenarios="1" selectLockedCells="1"/>
  <mergeCells count="3">
    <mergeCell ref="M2:O2"/>
    <mergeCell ref="B4:G4"/>
    <mergeCell ref="I4:O4"/>
  </mergeCells>
  <hyperlinks>
    <hyperlink ref="M2" location="Main!A1" display="MAIN SHEET"/>
  </hyperlinks>
  <pageMargins left="0.25" right="0.2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workbookViewId="0">
      <pane ySplit="4" topLeftCell="A5" activePane="bottomLeft" state="frozen"/>
      <selection pane="bottomLeft" activeCell="E21" sqref="E21"/>
    </sheetView>
  </sheetViews>
  <sheetFormatPr defaultRowHeight="19.149999999999999" customHeight="1" x14ac:dyDescent="0.2"/>
  <cols>
    <col min="1" max="1" width="3.140625" style="99" customWidth="1"/>
    <col min="2" max="2" width="25.28515625" style="99" customWidth="1"/>
    <col min="3" max="3" width="28" style="99" customWidth="1"/>
    <col min="4" max="4" width="1.7109375" style="99" customWidth="1"/>
    <col min="5" max="5" width="9.140625" style="99" customWidth="1"/>
    <col min="6" max="6" width="11.5703125" style="99" customWidth="1"/>
    <col min="7" max="7" width="2.7109375" style="99" customWidth="1"/>
    <col min="8" max="8" width="9.5703125" style="99" customWidth="1"/>
    <col min="9" max="9" width="11.85546875" style="99" customWidth="1"/>
    <col min="10" max="16384" width="9.140625" style="99"/>
  </cols>
  <sheetData>
    <row r="1" spans="1:9" ht="12" customHeight="1" thickBot="1" x14ac:dyDescent="0.25">
      <c r="A1" s="98"/>
    </row>
    <row r="2" spans="1:9" ht="19.149999999999999" customHeight="1" thickBot="1" x14ac:dyDescent="0.25">
      <c r="C2" s="48" t="s">
        <v>357</v>
      </c>
      <c r="D2" s="100"/>
      <c r="E2" s="101"/>
      <c r="F2" s="233" t="s">
        <v>211</v>
      </c>
      <c r="G2" s="234"/>
      <c r="H2" s="234"/>
      <c r="I2" s="235"/>
    </row>
    <row r="3" spans="1:9" ht="15.75" customHeight="1" thickTop="1" thickBot="1" x14ac:dyDescent="0.25">
      <c r="C3" s="18"/>
      <c r="E3" s="1"/>
    </row>
    <row r="4" spans="1:9" ht="19.149999999999999" customHeight="1" thickBot="1" x14ac:dyDescent="0.25">
      <c r="B4" s="102" t="s">
        <v>232</v>
      </c>
      <c r="C4" s="103" t="s">
        <v>42</v>
      </c>
      <c r="E4" s="250" t="s">
        <v>101</v>
      </c>
      <c r="F4" s="251"/>
      <c r="H4" s="250" t="s">
        <v>8</v>
      </c>
      <c r="I4" s="251"/>
    </row>
    <row r="5" spans="1:9" ht="19.149999999999999" customHeight="1" x14ac:dyDescent="0.2">
      <c r="B5" s="245" t="s">
        <v>215</v>
      </c>
      <c r="C5" s="104" t="s">
        <v>45</v>
      </c>
      <c r="D5" s="105"/>
      <c r="E5" s="106">
        <v>1</v>
      </c>
      <c r="F5" s="107" t="s">
        <v>16</v>
      </c>
      <c r="G5" s="108" t="s">
        <v>7</v>
      </c>
      <c r="H5" s="200">
        <f>E5*2.54</f>
        <v>2.54</v>
      </c>
      <c r="I5" s="109" t="s">
        <v>9</v>
      </c>
    </row>
    <row r="6" spans="1:9" ht="19.149999999999999" customHeight="1" thickBot="1" x14ac:dyDescent="0.25">
      <c r="B6" s="246"/>
      <c r="C6" s="110" t="s">
        <v>216</v>
      </c>
      <c r="D6" s="111"/>
      <c r="E6" s="112">
        <v>60</v>
      </c>
      <c r="F6" s="113" t="s">
        <v>9</v>
      </c>
      <c r="G6" s="114" t="s">
        <v>7</v>
      </c>
      <c r="H6" s="189">
        <f>E6/2.54</f>
        <v>23.622047244094489</v>
      </c>
      <c r="I6" s="115" t="s">
        <v>16</v>
      </c>
    </row>
    <row r="7" spans="1:9" ht="19.149999999999999" customHeight="1" thickBot="1" x14ac:dyDescent="0.25"/>
    <row r="8" spans="1:9" ht="19.149999999999999" customHeight="1" x14ac:dyDescent="0.2">
      <c r="B8" s="245" t="s">
        <v>217</v>
      </c>
      <c r="C8" s="104" t="s">
        <v>44</v>
      </c>
      <c r="D8" s="105"/>
      <c r="E8" s="106">
        <v>1</v>
      </c>
      <c r="F8" s="107" t="s">
        <v>16</v>
      </c>
      <c r="G8" s="108" t="s">
        <v>7</v>
      </c>
      <c r="H8" s="200">
        <f>E8*25.4</f>
        <v>25.4</v>
      </c>
      <c r="I8" s="109" t="s">
        <v>12</v>
      </c>
    </row>
    <row r="9" spans="1:9" ht="19.149999999999999" customHeight="1" thickBot="1" x14ac:dyDescent="0.25">
      <c r="B9" s="246"/>
      <c r="C9" s="110" t="s">
        <v>218</v>
      </c>
      <c r="D9" s="111"/>
      <c r="E9" s="116">
        <v>78</v>
      </c>
      <c r="F9" s="113" t="s">
        <v>12</v>
      </c>
      <c r="G9" s="114" t="s">
        <v>7</v>
      </c>
      <c r="H9" s="189">
        <f>E9/25.4</f>
        <v>3.0708661417322838</v>
      </c>
      <c r="I9" s="115" t="s">
        <v>16</v>
      </c>
    </row>
    <row r="10" spans="1:9" ht="19.149999999999999" customHeight="1" thickBot="1" x14ac:dyDescent="0.25"/>
    <row r="11" spans="1:9" ht="19.149999999999999" customHeight="1" x14ac:dyDescent="0.2">
      <c r="B11" s="245" t="s">
        <v>220</v>
      </c>
      <c r="C11" s="104" t="s">
        <v>358</v>
      </c>
      <c r="D11" s="105"/>
      <c r="E11" s="106">
        <v>1</v>
      </c>
      <c r="F11" s="107" t="s">
        <v>13</v>
      </c>
      <c r="G11" s="108" t="s">
        <v>7</v>
      </c>
      <c r="H11" s="201">
        <f>E11*0.348</f>
        <v>0.34799999999999998</v>
      </c>
      <c r="I11" s="109" t="s">
        <v>359</v>
      </c>
    </row>
    <row r="12" spans="1:9" ht="19.149999999999999" customHeight="1" thickBot="1" x14ac:dyDescent="0.25">
      <c r="B12" s="246"/>
      <c r="C12" s="110" t="s">
        <v>360</v>
      </c>
      <c r="D12" s="111"/>
      <c r="E12" s="112">
        <v>1</v>
      </c>
      <c r="F12" s="113" t="s">
        <v>359</v>
      </c>
      <c r="G12" s="114" t="s">
        <v>7</v>
      </c>
      <c r="H12" s="189">
        <f>E12*2.873</f>
        <v>2.8730000000000002</v>
      </c>
      <c r="I12" s="115" t="s">
        <v>13</v>
      </c>
    </row>
    <row r="13" spans="1:9" ht="19.149999999999999" customHeight="1" thickBot="1" x14ac:dyDescent="0.25"/>
    <row r="14" spans="1:9" ht="19.149999999999999" customHeight="1" x14ac:dyDescent="0.2">
      <c r="B14" s="245" t="s">
        <v>361</v>
      </c>
      <c r="C14" s="104" t="s">
        <v>362</v>
      </c>
      <c r="D14" s="105"/>
      <c r="E14" s="106">
        <v>1</v>
      </c>
      <c r="F14" s="107" t="s">
        <v>197</v>
      </c>
      <c r="G14" s="108" t="s">
        <v>7</v>
      </c>
      <c r="H14" s="200">
        <f>E14*3.785</f>
        <v>3.7850000000000001</v>
      </c>
      <c r="I14" s="109" t="s">
        <v>363</v>
      </c>
    </row>
    <row r="15" spans="1:9" ht="19.149999999999999" customHeight="1" thickBot="1" x14ac:dyDescent="0.25">
      <c r="B15" s="246"/>
      <c r="C15" s="110" t="s">
        <v>364</v>
      </c>
      <c r="D15" s="111"/>
      <c r="E15" s="112">
        <v>1</v>
      </c>
      <c r="F15" s="113" t="s">
        <v>363</v>
      </c>
      <c r="G15" s="114" t="s">
        <v>7</v>
      </c>
      <c r="H15" s="218" t="s">
        <v>451</v>
      </c>
      <c r="I15" s="115" t="s">
        <v>197</v>
      </c>
    </row>
    <row r="16" spans="1:9" ht="19.149999999999999" customHeight="1" thickBot="1" x14ac:dyDescent="0.25"/>
    <row r="17" spans="2:9" ht="19.149999999999999" customHeight="1" x14ac:dyDescent="0.2">
      <c r="B17" s="245" t="s">
        <v>365</v>
      </c>
      <c r="C17" s="104" t="s">
        <v>366</v>
      </c>
      <c r="D17" s="105"/>
      <c r="E17" s="106">
        <v>1</v>
      </c>
      <c r="F17" s="107" t="s">
        <v>367</v>
      </c>
      <c r="G17" s="108" t="s">
        <v>7</v>
      </c>
      <c r="H17" s="200">
        <f>E17*0.0929</f>
        <v>9.2899999999999996E-2</v>
      </c>
      <c r="I17" s="109" t="s">
        <v>368</v>
      </c>
    </row>
    <row r="18" spans="2:9" ht="19.149999999999999" customHeight="1" thickBot="1" x14ac:dyDescent="0.25">
      <c r="B18" s="246"/>
      <c r="C18" s="110" t="s">
        <v>369</v>
      </c>
      <c r="D18" s="111"/>
      <c r="E18" s="112">
        <v>1</v>
      </c>
      <c r="F18" s="113" t="s">
        <v>368</v>
      </c>
      <c r="G18" s="114" t="s">
        <v>7</v>
      </c>
      <c r="H18" s="189">
        <f>E18*10.764</f>
        <v>10.763999999999999</v>
      </c>
      <c r="I18" s="115" t="s">
        <v>367</v>
      </c>
    </row>
    <row r="19" spans="2:9" ht="19.149999999999999" customHeight="1" thickBot="1" x14ac:dyDescent="0.25"/>
    <row r="20" spans="2:9" ht="19.149999999999999" customHeight="1" x14ac:dyDescent="0.2">
      <c r="B20" s="245" t="s">
        <v>370</v>
      </c>
      <c r="C20" s="104" t="s">
        <v>371</v>
      </c>
      <c r="D20" s="105"/>
      <c r="E20" s="106">
        <v>1</v>
      </c>
      <c r="F20" s="107" t="s">
        <v>372</v>
      </c>
      <c r="G20" s="108" t="s">
        <v>7</v>
      </c>
      <c r="H20" s="219" t="s">
        <v>451</v>
      </c>
      <c r="I20" s="109" t="s">
        <v>373</v>
      </c>
    </row>
    <row r="21" spans="2:9" ht="19.149999999999999" customHeight="1" thickBot="1" x14ac:dyDescent="0.25">
      <c r="B21" s="246"/>
      <c r="C21" s="110" t="s">
        <v>374</v>
      </c>
      <c r="D21" s="111"/>
      <c r="E21" s="112">
        <v>1</v>
      </c>
      <c r="F21" s="113" t="s">
        <v>373</v>
      </c>
      <c r="G21" s="114" t="s">
        <v>7</v>
      </c>
      <c r="H21" s="189">
        <f>E21*15.873</f>
        <v>15.872999999999999</v>
      </c>
      <c r="I21" s="115" t="s">
        <v>372</v>
      </c>
    </row>
    <row r="22" spans="2:9" ht="19.149999999999999" customHeight="1" thickBot="1" x14ac:dyDescent="0.25"/>
    <row r="23" spans="2:9" ht="19.149999999999999" customHeight="1" x14ac:dyDescent="0.2">
      <c r="B23" s="245" t="s">
        <v>375</v>
      </c>
      <c r="C23" s="104" t="s">
        <v>376</v>
      </c>
      <c r="D23" s="105"/>
      <c r="E23" s="106">
        <v>1</v>
      </c>
      <c r="F23" s="107" t="s">
        <v>41</v>
      </c>
      <c r="G23" s="108" t="s">
        <v>7</v>
      </c>
      <c r="H23" s="200">
        <f>E23*6.8948</f>
        <v>6.8948</v>
      </c>
      <c r="I23" s="109" t="s">
        <v>377</v>
      </c>
    </row>
    <row r="24" spans="2:9" ht="19.149999999999999" customHeight="1" thickBot="1" x14ac:dyDescent="0.25">
      <c r="B24" s="246"/>
      <c r="C24" s="110" t="s">
        <v>378</v>
      </c>
      <c r="D24" s="111"/>
      <c r="E24" s="112">
        <v>1</v>
      </c>
      <c r="F24" s="113" t="s">
        <v>377</v>
      </c>
      <c r="G24" s="114" t="s">
        <v>7</v>
      </c>
      <c r="H24" s="150">
        <f>E24*0.145</f>
        <v>0.14499999999999999</v>
      </c>
      <c r="I24" s="115" t="s">
        <v>41</v>
      </c>
    </row>
    <row r="25" spans="2:9" ht="19.149999999999999" customHeight="1" thickBot="1" x14ac:dyDescent="0.25"/>
    <row r="26" spans="2:9" ht="19.149999999999999" customHeight="1" x14ac:dyDescent="0.2">
      <c r="B26" s="245" t="s">
        <v>379</v>
      </c>
      <c r="C26" s="104" t="s">
        <v>380</v>
      </c>
      <c r="D26" s="105"/>
      <c r="E26" s="106">
        <v>1</v>
      </c>
      <c r="F26" s="107" t="s">
        <v>381</v>
      </c>
      <c r="G26" s="108" t="s">
        <v>7</v>
      </c>
      <c r="H26" s="200">
        <f>E26*5.08</f>
        <v>5.08</v>
      </c>
      <c r="I26" s="109" t="s">
        <v>382</v>
      </c>
    </row>
    <row r="27" spans="2:9" ht="19.149999999999999" customHeight="1" thickBot="1" x14ac:dyDescent="0.25">
      <c r="B27" s="246"/>
      <c r="C27" s="110" t="s">
        <v>383</v>
      </c>
      <c r="D27" s="111"/>
      <c r="E27" s="112">
        <v>1</v>
      </c>
      <c r="F27" s="113" t="s">
        <v>382</v>
      </c>
      <c r="G27" s="114" t="s">
        <v>7</v>
      </c>
      <c r="H27" s="189">
        <f>E27*0.1968</f>
        <v>0.1968</v>
      </c>
      <c r="I27" s="115" t="s">
        <v>381</v>
      </c>
    </row>
    <row r="28" spans="2:9" ht="19.149999999999999" customHeight="1" thickBot="1" x14ac:dyDescent="0.25"/>
    <row r="29" spans="2:9" ht="19.149999999999999" customHeight="1" x14ac:dyDescent="0.2">
      <c r="B29" s="245" t="s">
        <v>384</v>
      </c>
      <c r="C29" s="104" t="s">
        <v>385</v>
      </c>
      <c r="D29" s="105"/>
      <c r="E29" s="106">
        <v>1</v>
      </c>
      <c r="F29" s="107" t="s">
        <v>66</v>
      </c>
      <c r="G29" s="108" t="s">
        <v>7</v>
      </c>
      <c r="H29" s="200">
        <f>E29*0.028</f>
        <v>2.8000000000000001E-2</v>
      </c>
      <c r="I29" s="109" t="s">
        <v>11</v>
      </c>
    </row>
    <row r="30" spans="2:9" ht="19.149999999999999" customHeight="1" thickBot="1" x14ac:dyDescent="0.25">
      <c r="B30" s="246"/>
      <c r="C30" s="110" t="s">
        <v>386</v>
      </c>
      <c r="D30" s="111"/>
      <c r="E30" s="112">
        <v>1</v>
      </c>
      <c r="F30" s="113" t="s">
        <v>11</v>
      </c>
      <c r="G30" s="114" t="s">
        <v>7</v>
      </c>
      <c r="H30" s="189">
        <f>E30*35.71</f>
        <v>35.71</v>
      </c>
      <c r="I30" s="115" t="s">
        <v>66</v>
      </c>
    </row>
    <row r="31" spans="2:9" ht="19.149999999999999" customHeight="1" thickBot="1" x14ac:dyDescent="0.25"/>
    <row r="32" spans="2:9" ht="19.149999999999999" customHeight="1" x14ac:dyDescent="0.2">
      <c r="B32" s="245" t="s">
        <v>387</v>
      </c>
      <c r="C32" s="104" t="s">
        <v>388</v>
      </c>
      <c r="D32" s="105"/>
      <c r="E32" s="106">
        <v>1</v>
      </c>
      <c r="F32" s="107" t="s">
        <v>389</v>
      </c>
      <c r="G32" s="108" t="s">
        <v>7</v>
      </c>
      <c r="H32" s="200">
        <f>E32*28.32</f>
        <v>28.32</v>
      </c>
      <c r="I32" s="109" t="s">
        <v>390</v>
      </c>
    </row>
    <row r="33" spans="2:9" ht="19.149999999999999" customHeight="1" thickBot="1" x14ac:dyDescent="0.25">
      <c r="B33" s="246"/>
      <c r="C33" s="110" t="s">
        <v>391</v>
      </c>
      <c r="D33" s="111"/>
      <c r="E33" s="112">
        <v>1</v>
      </c>
      <c r="F33" s="113" t="s">
        <v>390</v>
      </c>
      <c r="G33" s="114" t="s">
        <v>7</v>
      </c>
      <c r="H33" s="150">
        <f>E33*0.0353</f>
        <v>3.5299999999999998E-2</v>
      </c>
      <c r="I33" s="115" t="s">
        <v>389</v>
      </c>
    </row>
    <row r="34" spans="2:9" ht="19.149999999999999" customHeight="1" x14ac:dyDescent="0.2">
      <c r="G34" s="117"/>
    </row>
  </sheetData>
  <sheetProtection password="D910" sheet="1" objects="1" scenarios="1" selectLockedCells="1"/>
  <mergeCells count="13">
    <mergeCell ref="B32:B33"/>
    <mergeCell ref="B14:B15"/>
    <mergeCell ref="B17:B18"/>
    <mergeCell ref="B20:B21"/>
    <mergeCell ref="B23:B24"/>
    <mergeCell ref="B26:B27"/>
    <mergeCell ref="B29:B30"/>
    <mergeCell ref="B11:B12"/>
    <mergeCell ref="F2:I2"/>
    <mergeCell ref="E4:F4"/>
    <mergeCell ref="H4:I4"/>
    <mergeCell ref="B5:B6"/>
    <mergeCell ref="B8:B9"/>
  </mergeCells>
  <hyperlinks>
    <hyperlink ref="F2:I2" location="Main!A1" display="Back To MAIN SHEET"/>
  </hyperlinks>
  <pageMargins left="0.25" right="0.25" top="0.75" bottom="0.75" header="0.3" footer="0.3"/>
  <pageSetup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23"/>
  <sheetViews>
    <sheetView showGridLines="0" workbookViewId="0">
      <selection activeCell="E2" sqref="E2"/>
    </sheetView>
  </sheetViews>
  <sheetFormatPr defaultRowHeight="16.5" customHeight="1" x14ac:dyDescent="0.25"/>
  <cols>
    <col min="1" max="1" width="2.28515625" style="25" customWidth="1"/>
    <col min="2" max="2" width="1.7109375" style="25" customWidth="1"/>
    <col min="3" max="3" width="4.140625" style="25" customWidth="1"/>
    <col min="4" max="4" width="42.5703125" style="25" customWidth="1"/>
    <col min="5" max="5" width="31" style="25" customWidth="1"/>
    <col min="6" max="6" width="44.28515625" style="25" customWidth="1"/>
    <col min="7" max="7" width="3.140625" style="25" customWidth="1"/>
    <col min="8" max="8" width="7.7109375" style="25" customWidth="1"/>
    <col min="9" max="16384" width="9.140625" style="25"/>
  </cols>
  <sheetData>
    <row r="1" spans="1:25" ht="12" customHeight="1" thickBot="1" x14ac:dyDescent="0.3">
      <c r="A1" s="47"/>
    </row>
    <row r="2" spans="1:25" ht="22.5" customHeight="1" thickBot="1" x14ac:dyDescent="0.3">
      <c r="E2" s="4" t="s">
        <v>211</v>
      </c>
    </row>
    <row r="3" spans="1:25" ht="18" customHeight="1" thickTop="1" x14ac:dyDescent="0.25">
      <c r="A3" s="22"/>
      <c r="B3" s="23"/>
      <c r="C3" s="23"/>
      <c r="D3" s="23"/>
      <c r="E3" s="23"/>
      <c r="F3" s="23"/>
      <c r="G3" s="23"/>
      <c r="H3" s="23"/>
      <c r="I3" s="23"/>
      <c r="J3" s="23"/>
      <c r="K3" s="23"/>
      <c r="L3" s="23"/>
      <c r="M3" s="23"/>
      <c r="N3" s="23"/>
      <c r="O3" s="23"/>
      <c r="P3" s="23"/>
      <c r="Q3" s="23"/>
      <c r="R3" s="23"/>
      <c r="S3" s="23"/>
      <c r="T3" s="23"/>
      <c r="U3" s="23"/>
      <c r="V3" s="24"/>
      <c r="W3" s="24"/>
      <c r="X3" s="24"/>
      <c r="Y3" s="24"/>
    </row>
    <row r="4" spans="1:25" ht="25.5" customHeight="1" x14ac:dyDescent="0.25">
      <c r="A4" s="23"/>
      <c r="B4" s="26"/>
      <c r="C4" s="256" t="s">
        <v>178</v>
      </c>
      <c r="D4" s="256"/>
      <c r="E4" s="256"/>
      <c r="F4" s="256"/>
      <c r="G4" s="27"/>
      <c r="H4" s="23"/>
      <c r="I4" s="23"/>
      <c r="J4" s="23"/>
      <c r="K4" s="23"/>
      <c r="L4" s="23"/>
      <c r="M4" s="23"/>
      <c r="N4" s="23"/>
      <c r="O4" s="23"/>
      <c r="P4" s="23"/>
      <c r="Q4" s="23"/>
      <c r="R4" s="23"/>
      <c r="S4" s="23"/>
      <c r="T4" s="23"/>
      <c r="U4" s="23"/>
      <c r="V4" s="24"/>
      <c r="W4" s="24"/>
      <c r="X4" s="24"/>
      <c r="Y4" s="24"/>
    </row>
    <row r="5" spans="1:25" ht="22.5" customHeight="1" x14ac:dyDescent="0.25">
      <c r="A5" s="23"/>
      <c r="B5" s="28"/>
      <c r="C5" s="29" t="s">
        <v>179</v>
      </c>
      <c r="D5" s="255" t="s">
        <v>450</v>
      </c>
      <c r="E5" s="255"/>
      <c r="F5" s="255"/>
      <c r="G5" s="30"/>
      <c r="H5" s="23"/>
      <c r="I5" s="23"/>
      <c r="J5" s="23"/>
      <c r="K5" s="23"/>
      <c r="L5" s="23"/>
      <c r="M5" s="23"/>
      <c r="N5" s="23"/>
      <c r="O5" s="23"/>
      <c r="P5" s="23"/>
      <c r="Q5" s="23"/>
      <c r="R5" s="23"/>
      <c r="S5" s="23"/>
      <c r="T5" s="23"/>
      <c r="U5" s="23"/>
      <c r="V5" s="24"/>
      <c r="W5" s="24"/>
      <c r="X5" s="24"/>
      <c r="Y5" s="24"/>
    </row>
    <row r="6" spans="1:25" ht="22.5" customHeight="1" x14ac:dyDescent="0.25">
      <c r="A6" s="23"/>
      <c r="B6" s="28"/>
      <c r="C6" s="29" t="s">
        <v>180</v>
      </c>
      <c r="D6" s="255" t="s">
        <v>449</v>
      </c>
      <c r="E6" s="255"/>
      <c r="F6" s="255"/>
      <c r="G6" s="30"/>
      <c r="H6" s="23"/>
      <c r="I6" s="23"/>
      <c r="J6" s="23"/>
      <c r="K6" s="23"/>
      <c r="L6" s="23"/>
      <c r="M6" s="23"/>
      <c r="N6" s="23"/>
      <c r="O6" s="23"/>
      <c r="P6" s="23"/>
      <c r="Q6" s="23"/>
      <c r="R6" s="23"/>
      <c r="S6" s="23"/>
      <c r="T6" s="23"/>
      <c r="U6" s="23"/>
      <c r="V6" s="24"/>
      <c r="W6" s="24"/>
      <c r="X6" s="24"/>
      <c r="Y6" s="24"/>
    </row>
    <row r="7" spans="1:25" ht="22.5" customHeight="1" x14ac:dyDescent="0.25">
      <c r="A7" s="23"/>
      <c r="B7" s="28"/>
      <c r="C7" s="29" t="s">
        <v>181</v>
      </c>
      <c r="D7" s="255" t="s">
        <v>212</v>
      </c>
      <c r="E7" s="255"/>
      <c r="F7" s="255"/>
      <c r="G7" s="30"/>
      <c r="H7" s="23"/>
      <c r="I7" s="23"/>
      <c r="J7" s="23"/>
      <c r="K7" s="23"/>
      <c r="L7" s="23"/>
      <c r="M7" s="23"/>
      <c r="N7" s="23"/>
      <c r="O7" s="23"/>
      <c r="P7" s="23"/>
      <c r="Q7" s="23"/>
      <c r="R7" s="23"/>
      <c r="S7" s="23"/>
      <c r="T7" s="23"/>
      <c r="U7" s="23"/>
      <c r="V7" s="24"/>
      <c r="W7" s="24"/>
      <c r="X7" s="24"/>
      <c r="Y7" s="24"/>
    </row>
    <row r="8" spans="1:25" ht="22.5" customHeight="1" x14ac:dyDescent="0.25">
      <c r="A8" s="23"/>
      <c r="B8" s="28"/>
      <c r="C8" s="29" t="s">
        <v>182</v>
      </c>
      <c r="D8" s="255" t="s">
        <v>188</v>
      </c>
      <c r="E8" s="255"/>
      <c r="F8" s="255"/>
      <c r="G8" s="30"/>
      <c r="H8" s="23"/>
      <c r="I8" s="23"/>
      <c r="J8" s="23"/>
      <c r="K8" s="23"/>
      <c r="L8" s="23"/>
      <c r="M8" s="23"/>
      <c r="N8" s="23"/>
      <c r="O8" s="23"/>
      <c r="P8" s="23"/>
      <c r="Q8" s="23"/>
      <c r="R8" s="23"/>
      <c r="S8" s="23"/>
      <c r="T8" s="23"/>
      <c r="U8" s="23"/>
      <c r="V8" s="24"/>
      <c r="W8" s="24"/>
      <c r="X8" s="24"/>
      <c r="Y8" s="24"/>
    </row>
    <row r="9" spans="1:25" ht="23.25" customHeight="1" x14ac:dyDescent="0.3">
      <c r="A9" s="23"/>
      <c r="B9" s="28"/>
      <c r="C9" s="257" t="s">
        <v>183</v>
      </c>
      <c r="D9" s="257"/>
      <c r="E9" s="257"/>
      <c r="F9" s="257"/>
      <c r="G9" s="30"/>
      <c r="H9" s="23"/>
      <c r="I9" s="23"/>
      <c r="J9" s="23"/>
      <c r="K9" s="23"/>
      <c r="L9" s="23"/>
      <c r="M9" s="23"/>
      <c r="N9" s="23"/>
      <c r="O9" s="23"/>
      <c r="P9" s="23"/>
      <c r="Q9" s="23"/>
      <c r="R9" s="23"/>
      <c r="S9" s="23"/>
      <c r="T9" s="23"/>
      <c r="U9" s="23"/>
      <c r="V9" s="24"/>
      <c r="W9" s="24"/>
      <c r="X9" s="24"/>
      <c r="Y9" s="24"/>
    </row>
    <row r="10" spans="1:25" ht="63" customHeight="1" x14ac:dyDescent="0.25">
      <c r="A10" s="31"/>
      <c r="B10" s="28"/>
      <c r="C10" s="29" t="s">
        <v>179</v>
      </c>
      <c r="D10" s="255" t="s">
        <v>184</v>
      </c>
      <c r="E10" s="255"/>
      <c r="F10" s="255"/>
      <c r="G10" s="30"/>
      <c r="H10" s="31"/>
      <c r="I10" s="23"/>
      <c r="J10" s="23"/>
      <c r="K10" s="23"/>
      <c r="L10" s="23"/>
      <c r="M10" s="23"/>
      <c r="N10" s="23"/>
      <c r="O10" s="23"/>
      <c r="P10" s="23"/>
      <c r="Q10" s="23"/>
      <c r="R10" s="23"/>
      <c r="S10" s="23"/>
      <c r="T10" s="23"/>
      <c r="U10" s="23"/>
      <c r="V10" s="24"/>
      <c r="W10" s="24"/>
      <c r="X10" s="24"/>
      <c r="Y10" s="24"/>
    </row>
    <row r="11" spans="1:25" ht="69" customHeight="1" x14ac:dyDescent="0.25">
      <c r="A11" s="23"/>
      <c r="B11" s="28"/>
      <c r="C11" s="29" t="s">
        <v>180</v>
      </c>
      <c r="D11" s="255" t="s">
        <v>185</v>
      </c>
      <c r="E11" s="255"/>
      <c r="F11" s="255"/>
      <c r="G11" s="30"/>
      <c r="H11" s="23"/>
      <c r="I11" s="23"/>
      <c r="J11" s="23"/>
      <c r="K11" s="23"/>
      <c r="L11" s="23"/>
      <c r="M11" s="23"/>
      <c r="N11" s="23"/>
      <c r="O11" s="23"/>
      <c r="P11" s="23"/>
      <c r="Q11" s="23"/>
      <c r="R11" s="23"/>
      <c r="S11" s="23"/>
      <c r="T11" s="23"/>
      <c r="U11" s="23"/>
      <c r="V11" s="24"/>
      <c r="W11" s="24"/>
      <c r="X11" s="24"/>
      <c r="Y11" s="24"/>
    </row>
    <row r="12" spans="1:25" ht="39" customHeight="1" x14ac:dyDescent="0.25">
      <c r="A12" s="23"/>
      <c r="B12" s="28"/>
      <c r="C12" s="29" t="s">
        <v>181</v>
      </c>
      <c r="D12" s="255" t="s">
        <v>186</v>
      </c>
      <c r="E12" s="255"/>
      <c r="F12" s="255"/>
      <c r="G12" s="30"/>
      <c r="H12" s="23"/>
      <c r="I12" s="23"/>
      <c r="J12" s="23"/>
      <c r="K12" s="23"/>
      <c r="L12" s="23"/>
      <c r="M12" s="23"/>
      <c r="N12" s="23"/>
      <c r="O12" s="23"/>
      <c r="P12" s="23"/>
      <c r="Q12" s="23"/>
      <c r="R12" s="23"/>
      <c r="S12" s="23"/>
      <c r="T12" s="23"/>
      <c r="U12" s="23"/>
      <c r="V12" s="24"/>
      <c r="W12" s="24"/>
      <c r="X12" s="24"/>
      <c r="Y12" s="24"/>
    </row>
    <row r="13" spans="1:25" ht="35.25" customHeight="1" x14ac:dyDescent="0.25">
      <c r="A13" s="23"/>
      <c r="B13" s="28"/>
      <c r="C13" s="29" t="s">
        <v>182</v>
      </c>
      <c r="D13" s="255" t="s">
        <v>187</v>
      </c>
      <c r="E13" s="255"/>
      <c r="F13" s="255"/>
      <c r="G13" s="30"/>
      <c r="H13" s="23"/>
      <c r="I13" s="23"/>
      <c r="J13" s="23"/>
      <c r="K13" s="23"/>
      <c r="L13" s="23"/>
      <c r="M13" s="23"/>
      <c r="N13" s="23"/>
      <c r="O13" s="23"/>
      <c r="P13" s="23"/>
      <c r="Q13" s="23"/>
      <c r="R13" s="23"/>
      <c r="S13" s="23"/>
      <c r="T13" s="23"/>
      <c r="U13" s="23"/>
      <c r="V13" s="24"/>
      <c r="W13" s="24"/>
      <c r="X13" s="24"/>
      <c r="Y13" s="24"/>
    </row>
    <row r="14" spans="1:25" ht="9" customHeight="1" x14ac:dyDescent="0.25">
      <c r="A14" s="23"/>
      <c r="B14" s="32"/>
      <c r="C14" s="33"/>
      <c r="D14" s="33"/>
      <c r="E14" s="33"/>
      <c r="F14" s="33"/>
      <c r="G14" s="34"/>
      <c r="H14" s="23"/>
      <c r="I14" s="23"/>
      <c r="J14" s="23"/>
      <c r="K14" s="23"/>
      <c r="L14" s="23"/>
      <c r="M14" s="23"/>
      <c r="N14" s="23"/>
      <c r="O14" s="23"/>
      <c r="P14" s="23"/>
      <c r="Q14" s="23"/>
      <c r="R14" s="23"/>
      <c r="S14" s="23"/>
      <c r="T14" s="23"/>
      <c r="U14" s="23"/>
      <c r="V14" s="24"/>
      <c r="W14" s="24"/>
      <c r="X14" s="24"/>
      <c r="Y14" s="24"/>
    </row>
    <row r="15" spans="1:25" ht="16.5" customHeight="1" x14ac:dyDescent="0.25">
      <c r="A15" s="23"/>
      <c r="B15" s="23"/>
      <c r="C15" s="23"/>
      <c r="D15" s="23"/>
      <c r="E15" s="23"/>
      <c r="F15" s="23"/>
      <c r="G15" s="23"/>
      <c r="H15" s="23"/>
      <c r="I15" s="23"/>
      <c r="J15" s="23"/>
      <c r="K15" s="23"/>
      <c r="L15" s="23"/>
      <c r="M15" s="23"/>
      <c r="N15" s="23"/>
      <c r="O15" s="23"/>
      <c r="P15" s="23"/>
      <c r="Q15" s="23"/>
      <c r="R15" s="23"/>
      <c r="S15" s="23"/>
      <c r="T15" s="23"/>
      <c r="U15" s="23"/>
      <c r="V15" s="24"/>
      <c r="W15" s="24"/>
      <c r="X15" s="24"/>
      <c r="Y15" s="24"/>
    </row>
    <row r="16" spans="1:25" ht="16.5" customHeight="1" x14ac:dyDescent="0.25">
      <c r="A16" s="23"/>
      <c r="B16" s="23"/>
      <c r="C16" s="23"/>
      <c r="D16" s="23"/>
      <c r="E16" s="23"/>
      <c r="F16" s="23"/>
      <c r="G16" s="23"/>
      <c r="H16" s="23"/>
      <c r="I16" s="23"/>
      <c r="J16" s="23"/>
      <c r="K16" s="23"/>
      <c r="L16" s="23"/>
      <c r="M16" s="23"/>
      <c r="N16" s="23"/>
      <c r="O16" s="23"/>
      <c r="P16" s="23"/>
      <c r="Q16" s="23"/>
      <c r="R16" s="23"/>
      <c r="S16" s="23"/>
      <c r="T16" s="23"/>
      <c r="U16" s="23"/>
      <c r="V16" s="24"/>
      <c r="W16" s="24"/>
      <c r="X16" s="24"/>
      <c r="Y16" s="24"/>
    </row>
    <row r="17" spans="1:25" ht="16.5" customHeight="1" x14ac:dyDescent="0.25">
      <c r="A17" s="23"/>
      <c r="B17" s="23"/>
      <c r="C17" s="23"/>
      <c r="D17" s="23"/>
      <c r="E17" s="23"/>
      <c r="F17" s="23"/>
      <c r="G17" s="23"/>
      <c r="H17" s="23"/>
      <c r="I17" s="23"/>
      <c r="J17" s="23"/>
      <c r="K17" s="23"/>
      <c r="L17" s="23"/>
      <c r="M17" s="23"/>
      <c r="N17" s="23"/>
      <c r="O17" s="23"/>
      <c r="P17" s="23"/>
      <c r="Q17" s="23"/>
      <c r="R17" s="23"/>
      <c r="S17" s="23"/>
      <c r="T17" s="23"/>
      <c r="U17" s="23"/>
      <c r="V17" s="24"/>
      <c r="W17" s="24"/>
      <c r="X17" s="24"/>
      <c r="Y17" s="24"/>
    </row>
    <row r="18" spans="1:25" ht="16.5" customHeight="1" x14ac:dyDescent="0.25">
      <c r="A18" s="23"/>
      <c r="B18" s="23"/>
      <c r="C18" s="23"/>
      <c r="D18" s="23"/>
      <c r="E18" s="23"/>
      <c r="F18" s="23"/>
      <c r="G18" s="23"/>
      <c r="H18" s="23"/>
      <c r="I18" s="23"/>
      <c r="J18" s="23"/>
      <c r="K18" s="23"/>
      <c r="L18" s="23"/>
      <c r="M18" s="23"/>
      <c r="N18" s="23"/>
      <c r="O18" s="23"/>
      <c r="P18" s="23"/>
      <c r="Q18" s="23"/>
      <c r="R18" s="23"/>
      <c r="S18" s="23"/>
      <c r="T18" s="23"/>
      <c r="U18" s="23"/>
      <c r="V18" s="24"/>
      <c r="W18" s="24"/>
      <c r="X18" s="24"/>
      <c r="Y18" s="24"/>
    </row>
    <row r="19" spans="1:25" ht="16.5" customHeight="1" x14ac:dyDescent="0.25">
      <c r="A19" s="23"/>
      <c r="B19" s="23"/>
      <c r="C19" s="23"/>
      <c r="D19" s="23"/>
      <c r="E19" s="23"/>
      <c r="F19" s="23"/>
      <c r="G19" s="23"/>
      <c r="H19" s="23"/>
      <c r="I19" s="23"/>
      <c r="J19" s="23"/>
      <c r="K19" s="23"/>
      <c r="L19" s="23"/>
      <c r="M19" s="23"/>
      <c r="N19" s="23"/>
      <c r="O19" s="23"/>
      <c r="P19" s="23"/>
      <c r="Q19" s="23"/>
      <c r="R19" s="23"/>
      <c r="S19" s="23"/>
      <c r="T19" s="23"/>
      <c r="U19" s="23"/>
      <c r="V19" s="24"/>
      <c r="W19" s="24"/>
      <c r="X19" s="24"/>
      <c r="Y19" s="24"/>
    </row>
    <row r="20" spans="1:25" ht="16.5" customHeight="1" x14ac:dyDescent="0.25">
      <c r="A20" s="23"/>
      <c r="B20" s="23"/>
      <c r="C20" s="23"/>
      <c r="D20" s="23"/>
      <c r="E20" s="23"/>
      <c r="F20" s="23"/>
      <c r="G20" s="23"/>
      <c r="H20" s="23"/>
      <c r="I20" s="23"/>
      <c r="J20" s="23"/>
      <c r="K20" s="23"/>
      <c r="L20" s="23"/>
      <c r="M20" s="23"/>
      <c r="N20" s="23"/>
      <c r="O20" s="23"/>
      <c r="P20" s="23"/>
      <c r="Q20" s="23"/>
      <c r="R20" s="24"/>
      <c r="S20" s="24"/>
      <c r="T20" s="24"/>
      <c r="U20" s="24"/>
      <c r="V20" s="24"/>
      <c r="W20" s="24"/>
      <c r="X20" s="24"/>
      <c r="Y20" s="24"/>
    </row>
    <row r="21" spans="1:25" ht="16.5" customHeight="1" x14ac:dyDescent="0.25">
      <c r="A21" s="23"/>
      <c r="B21" s="23"/>
      <c r="C21" s="23"/>
      <c r="D21" s="23"/>
      <c r="E21" s="23"/>
      <c r="F21" s="23"/>
      <c r="G21" s="23"/>
      <c r="H21" s="23"/>
      <c r="I21" s="23"/>
      <c r="J21" s="23"/>
      <c r="K21" s="23"/>
      <c r="L21" s="23"/>
      <c r="M21" s="23"/>
      <c r="N21" s="23"/>
      <c r="O21" s="23"/>
      <c r="P21" s="23"/>
      <c r="Q21" s="23"/>
      <c r="R21" s="24"/>
      <c r="S21" s="24"/>
      <c r="T21" s="24"/>
      <c r="U21" s="24"/>
      <c r="V21" s="24"/>
      <c r="W21" s="24"/>
      <c r="X21" s="24"/>
      <c r="Y21" s="24"/>
    </row>
    <row r="22" spans="1:25" ht="16.5" customHeight="1" x14ac:dyDescent="0.25">
      <c r="A22" s="23"/>
      <c r="B22" s="23"/>
      <c r="C22" s="23"/>
      <c r="D22" s="23"/>
      <c r="E22" s="23"/>
      <c r="F22" s="23"/>
      <c r="G22" s="23"/>
      <c r="H22" s="23"/>
      <c r="I22" s="23"/>
      <c r="J22" s="23"/>
      <c r="K22" s="23"/>
      <c r="L22" s="23"/>
      <c r="M22" s="23"/>
      <c r="N22" s="23"/>
      <c r="O22" s="23"/>
      <c r="P22" s="23"/>
      <c r="Q22" s="23"/>
      <c r="R22" s="24"/>
      <c r="S22" s="24"/>
      <c r="T22" s="24"/>
      <c r="U22" s="24"/>
      <c r="V22" s="24"/>
      <c r="W22" s="24"/>
      <c r="X22" s="24"/>
      <c r="Y22" s="24"/>
    </row>
    <row r="23" spans="1:25" ht="16.5" customHeight="1" x14ac:dyDescent="0.25">
      <c r="A23" s="23"/>
      <c r="B23" s="23"/>
      <c r="C23" s="23"/>
      <c r="D23" s="23"/>
      <c r="E23" s="23"/>
      <c r="F23" s="23"/>
      <c r="G23" s="23"/>
      <c r="H23" s="23"/>
      <c r="I23" s="23"/>
      <c r="J23" s="23"/>
      <c r="K23" s="23"/>
      <c r="L23" s="23"/>
      <c r="M23" s="23"/>
      <c r="N23" s="23"/>
      <c r="O23" s="23"/>
      <c r="P23" s="23"/>
      <c r="Q23" s="23"/>
      <c r="R23" s="24"/>
      <c r="S23" s="24"/>
      <c r="T23" s="24"/>
      <c r="U23" s="24"/>
      <c r="V23" s="24"/>
      <c r="W23" s="24"/>
      <c r="X23" s="24"/>
      <c r="Y23" s="24"/>
    </row>
  </sheetData>
  <sheetProtection password="D910" sheet="1" objects="1" scenarios="1" selectLockedCells="1"/>
  <mergeCells count="10">
    <mergeCell ref="D10:F10"/>
    <mergeCell ref="D11:F11"/>
    <mergeCell ref="D12:F12"/>
    <mergeCell ref="D13:F13"/>
    <mergeCell ref="C4:F4"/>
    <mergeCell ref="C9:F9"/>
    <mergeCell ref="D5:F5"/>
    <mergeCell ref="D6:F6"/>
    <mergeCell ref="D7:F7"/>
    <mergeCell ref="D8:F8"/>
  </mergeCells>
  <hyperlinks>
    <hyperlink ref="E2" location="Main!A1" display="MAIN SHEET"/>
  </hyperlinks>
  <pageMargins left="0.7" right="0.7" top="0.75" bottom="0.75" header="0.3" footer="0.3"/>
  <pageSetup scale="63" fitToHeight="0" orientation="portrait" r:id="rId1"/>
  <headerFooter>
    <oddFooter>&amp;Cwww.HVACnotebook.com&amp;RFREE Version v.13.2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22"/>
  <sheetViews>
    <sheetView showGridLines="0" workbookViewId="0">
      <selection activeCell="E11" sqref="E11"/>
    </sheetView>
  </sheetViews>
  <sheetFormatPr defaultRowHeight="19.149999999999999" customHeight="1" x14ac:dyDescent="0.2"/>
  <cols>
    <col min="1" max="1" width="3.140625" customWidth="1"/>
    <col min="2" max="2" width="25.28515625" customWidth="1"/>
    <col min="3" max="3" width="39.7109375" customWidth="1"/>
    <col min="4" max="4" width="3.85546875" customWidth="1"/>
    <col min="5" max="5" width="9.140625" customWidth="1"/>
    <col min="6" max="6" width="11.5703125" customWidth="1"/>
    <col min="7" max="7" width="2.7109375" customWidth="1"/>
    <col min="8" max="8" width="8.28515625" customWidth="1"/>
    <col min="9" max="9" width="11.85546875" customWidth="1"/>
  </cols>
  <sheetData>
    <row r="1" spans="1:9" ht="12" customHeight="1" thickBot="1" x14ac:dyDescent="0.25">
      <c r="A1" s="37"/>
    </row>
    <row r="2" spans="1:9" ht="19.149999999999999" customHeight="1" thickBot="1" x14ac:dyDescent="0.25">
      <c r="B2" s="236" t="s">
        <v>60</v>
      </c>
      <c r="C2" s="236"/>
      <c r="D2" s="236"/>
      <c r="E2" s="237"/>
      <c r="F2" s="233" t="s">
        <v>211</v>
      </c>
      <c r="G2" s="234"/>
      <c r="H2" s="234"/>
      <c r="I2" s="235"/>
    </row>
    <row r="3" spans="1:9" ht="15.75" customHeight="1" thickTop="1" x14ac:dyDescent="0.2">
      <c r="C3" s="18"/>
      <c r="E3" s="1"/>
    </row>
    <row r="4" spans="1:9" ht="19.149999999999999" customHeight="1" thickBot="1" x14ac:dyDescent="0.25">
      <c r="B4" s="50" t="s">
        <v>232</v>
      </c>
      <c r="C4" s="50" t="s">
        <v>42</v>
      </c>
      <c r="E4" s="238" t="s">
        <v>101</v>
      </c>
      <c r="F4" s="238"/>
      <c r="H4" s="238" t="s">
        <v>8</v>
      </c>
      <c r="I4" s="238"/>
    </row>
    <row r="5" spans="1:9" ht="19.149999999999999" customHeight="1" x14ac:dyDescent="0.2">
      <c r="B5" s="231" t="s">
        <v>213</v>
      </c>
      <c r="C5" s="51" t="s">
        <v>54</v>
      </c>
      <c r="D5" s="77"/>
      <c r="E5" s="53">
        <v>180</v>
      </c>
      <c r="F5" s="54" t="s">
        <v>1</v>
      </c>
      <c r="G5" s="78" t="s">
        <v>7</v>
      </c>
      <c r="H5" s="153">
        <f>(5/9)*(E5-32)</f>
        <v>82.222222222222229</v>
      </c>
      <c r="I5" s="56" t="s">
        <v>2</v>
      </c>
    </row>
    <row r="6" spans="1:9" ht="19.149999999999999" customHeight="1" thickBot="1" x14ac:dyDescent="0.25">
      <c r="B6" s="232"/>
      <c r="C6" s="79" t="s">
        <v>56</v>
      </c>
      <c r="D6" s="80"/>
      <c r="E6" s="81">
        <v>13</v>
      </c>
      <c r="F6" s="82" t="s">
        <v>2</v>
      </c>
      <c r="G6" s="83" t="s">
        <v>7</v>
      </c>
      <c r="H6" s="154">
        <f>(9/5)*E6+32</f>
        <v>55.400000000000006</v>
      </c>
      <c r="I6" s="84" t="s">
        <v>1</v>
      </c>
    </row>
    <row r="7" spans="1:9" ht="19.149999999999999" customHeight="1" thickBot="1" x14ac:dyDescent="0.25"/>
    <row r="8" spans="1:9" ht="19.149999999999999" customHeight="1" x14ac:dyDescent="0.2">
      <c r="B8" s="231" t="s">
        <v>233</v>
      </c>
      <c r="C8" s="51" t="s">
        <v>55</v>
      </c>
      <c r="D8" s="77"/>
      <c r="E8" s="53">
        <v>300</v>
      </c>
      <c r="F8" s="54" t="s">
        <v>6</v>
      </c>
      <c r="G8" s="78" t="s">
        <v>7</v>
      </c>
      <c r="H8" s="153">
        <f>E8-273.15</f>
        <v>26.850000000000023</v>
      </c>
      <c r="I8" s="56" t="s">
        <v>2</v>
      </c>
    </row>
    <row r="9" spans="1:9" ht="19.149999999999999" customHeight="1" thickBot="1" x14ac:dyDescent="0.25">
      <c r="B9" s="232"/>
      <c r="C9" s="57" t="s">
        <v>234</v>
      </c>
      <c r="D9" s="80"/>
      <c r="E9" s="81">
        <v>25</v>
      </c>
      <c r="F9" s="82" t="s">
        <v>2</v>
      </c>
      <c r="G9" s="83" t="s">
        <v>7</v>
      </c>
      <c r="H9" s="208" t="s">
        <v>451</v>
      </c>
      <c r="I9" s="84" t="s">
        <v>6</v>
      </c>
    </row>
    <row r="10" spans="1:9" ht="19.149999999999999" customHeight="1" thickBot="1" x14ac:dyDescent="0.25"/>
    <row r="11" spans="1:9" ht="19.149999999999999" customHeight="1" x14ac:dyDescent="0.2">
      <c r="B11" s="231" t="s">
        <v>235</v>
      </c>
      <c r="C11" s="51" t="s">
        <v>57</v>
      </c>
      <c r="D11" s="77"/>
      <c r="E11" s="53">
        <v>290</v>
      </c>
      <c r="F11" s="54" t="s">
        <v>6</v>
      </c>
      <c r="G11" s="78" t="s">
        <v>7</v>
      </c>
      <c r="H11" s="153">
        <f>(9/5)*(E11-273.15)+32</f>
        <v>62.330000000000041</v>
      </c>
      <c r="I11" s="56" t="s">
        <v>1</v>
      </c>
    </row>
    <row r="12" spans="1:9" ht="19.149999999999999" customHeight="1" thickBot="1" x14ac:dyDescent="0.25">
      <c r="B12" s="232"/>
      <c r="C12" s="57" t="s">
        <v>236</v>
      </c>
      <c r="D12" s="80"/>
      <c r="E12" s="81">
        <v>62.33</v>
      </c>
      <c r="F12" s="82" t="s">
        <v>1</v>
      </c>
      <c r="G12" s="83" t="s">
        <v>7</v>
      </c>
      <c r="H12" s="154">
        <f>(E12-32)*(5/9)+273.15</f>
        <v>290</v>
      </c>
      <c r="I12" s="84" t="s">
        <v>6</v>
      </c>
    </row>
    <row r="13" spans="1:9" ht="19.149999999999999" customHeight="1" thickBot="1" x14ac:dyDescent="0.25"/>
    <row r="14" spans="1:9" ht="19.149999999999999" customHeight="1" x14ac:dyDescent="0.2">
      <c r="B14" s="231" t="s">
        <v>237</v>
      </c>
      <c r="C14" s="51" t="s">
        <v>58</v>
      </c>
      <c r="D14" s="77"/>
      <c r="E14" s="53">
        <v>20</v>
      </c>
      <c r="F14" s="54" t="s">
        <v>6</v>
      </c>
      <c r="G14" s="78" t="s">
        <v>7</v>
      </c>
      <c r="H14" s="153">
        <f>(9/5)*E14</f>
        <v>36</v>
      </c>
      <c r="I14" s="56" t="s">
        <v>0</v>
      </c>
    </row>
    <row r="15" spans="1:9" ht="19.149999999999999" customHeight="1" thickBot="1" x14ac:dyDescent="0.25">
      <c r="B15" s="232"/>
      <c r="C15" s="57" t="s">
        <v>238</v>
      </c>
      <c r="D15" s="80"/>
      <c r="E15" s="81">
        <v>36</v>
      </c>
      <c r="F15" s="82" t="s">
        <v>0</v>
      </c>
      <c r="G15" s="83" t="s">
        <v>7</v>
      </c>
      <c r="H15" s="208" t="s">
        <v>451</v>
      </c>
      <c r="I15" s="84" t="s">
        <v>6</v>
      </c>
    </row>
    <row r="16" spans="1:9" ht="19.149999999999999" customHeight="1" x14ac:dyDescent="0.2">
      <c r="C16" s="19"/>
    </row>
    <row r="17" spans="2:2" ht="19.149999999999999" customHeight="1" thickBot="1" x14ac:dyDescent="0.25">
      <c r="B17" s="2" t="s">
        <v>59</v>
      </c>
    </row>
    <row r="18" spans="2:2" ht="19.149999999999999" customHeight="1" thickTop="1" x14ac:dyDescent="0.2">
      <c r="B18" s="85" t="s">
        <v>344</v>
      </c>
    </row>
    <row r="19" spans="2:2" ht="19.149999999999999" customHeight="1" x14ac:dyDescent="0.2">
      <c r="B19" s="86" t="s">
        <v>345</v>
      </c>
    </row>
    <row r="20" spans="2:2" ht="19.149999999999999" customHeight="1" x14ac:dyDescent="0.2">
      <c r="B20" s="86" t="s">
        <v>346</v>
      </c>
    </row>
    <row r="21" spans="2:2" ht="19.149999999999999" customHeight="1" x14ac:dyDescent="0.2">
      <c r="B21" s="86" t="s">
        <v>347</v>
      </c>
    </row>
    <row r="22" spans="2:2" ht="19.149999999999999" customHeight="1" x14ac:dyDescent="0.2">
      <c r="B22" s="86" t="s">
        <v>348</v>
      </c>
    </row>
  </sheetData>
  <sheetProtection password="D910" sheet="1" objects="1" scenarios="1" selectLockedCells="1"/>
  <mergeCells count="8">
    <mergeCell ref="B8:B9"/>
    <mergeCell ref="B11:B12"/>
    <mergeCell ref="B14:B15"/>
    <mergeCell ref="F2:I2"/>
    <mergeCell ref="B2:E2"/>
    <mergeCell ref="E4:F4"/>
    <mergeCell ref="H4:I4"/>
    <mergeCell ref="B5:B6"/>
  </mergeCells>
  <phoneticPr fontId="0" type="noConversion"/>
  <hyperlinks>
    <hyperlink ref="F2" location="Main!A1" display="MAIN SHEET"/>
  </hyperlinks>
  <pageMargins left="0.25" right="0.25" top="0.75" bottom="0.75" header="0.3" footer="0.3"/>
  <pageSetup scale="89" orientation="portrait" horizontalDpi="1200" verticalDpi="1200" r:id="rId1"/>
  <headerFooter alignWithMargins="0"/>
  <webPublishItems count="1">
    <webPublishItem id="8742" divId="Units HVAC_8742" sourceType="sheet" destinationFile="C:\Users\jim\Desktop\Replct\Temperature.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42"/>
  <sheetViews>
    <sheetView showGridLines="0" workbookViewId="0">
      <pane ySplit="4" topLeftCell="A5" activePane="bottomLeft" state="frozen"/>
      <selection pane="bottomLeft" activeCell="E14" sqref="E14"/>
    </sheetView>
  </sheetViews>
  <sheetFormatPr defaultRowHeight="16.5" customHeight="1" x14ac:dyDescent="0.2"/>
  <cols>
    <col min="1" max="1" width="5.5703125" customWidth="1"/>
    <col min="2" max="2" width="18.7109375" customWidth="1"/>
    <col min="3" max="3" width="26.28515625" customWidth="1"/>
    <col min="4" max="4" width="3.28515625" customWidth="1"/>
    <col min="5" max="5" width="10.7109375" customWidth="1"/>
    <col min="6" max="6" width="8.140625" bestFit="1" customWidth="1"/>
    <col min="7" max="7" width="2.85546875" customWidth="1"/>
    <col min="8" max="8" width="10" customWidth="1"/>
    <col min="9" max="9" width="8.7109375" customWidth="1"/>
  </cols>
  <sheetData>
    <row r="1" spans="1:9" ht="13.5" customHeight="1" thickBot="1" x14ac:dyDescent="0.25">
      <c r="A1" s="37"/>
    </row>
    <row r="2" spans="1:9" ht="16.5" customHeight="1" thickBot="1" x14ac:dyDescent="0.25">
      <c r="A2" s="37"/>
      <c r="B2" s="236" t="s">
        <v>61</v>
      </c>
      <c r="C2" s="236"/>
      <c r="D2" s="236"/>
      <c r="E2" s="237"/>
      <c r="F2" s="233" t="s">
        <v>211</v>
      </c>
      <c r="G2" s="234"/>
      <c r="H2" s="234"/>
      <c r="I2" s="235"/>
    </row>
    <row r="3" spans="1:9" ht="16.5" customHeight="1" thickTop="1" thickBot="1" x14ac:dyDescent="0.25">
      <c r="E3" s="1"/>
      <c r="H3" s="72"/>
    </row>
    <row r="4" spans="1:9" ht="16.5" customHeight="1" thickBot="1" x14ac:dyDescent="0.25">
      <c r="B4" s="71" t="s">
        <v>232</v>
      </c>
      <c r="C4" s="70" t="s">
        <v>42</v>
      </c>
      <c r="E4" s="239" t="s">
        <v>101</v>
      </c>
      <c r="F4" s="240"/>
      <c r="H4" s="239" t="s">
        <v>8</v>
      </c>
      <c r="I4" s="240"/>
    </row>
    <row r="5" spans="1:9" ht="16.5" customHeight="1" x14ac:dyDescent="0.2">
      <c r="B5" s="231" t="s">
        <v>215</v>
      </c>
      <c r="C5" s="51" t="s">
        <v>45</v>
      </c>
      <c r="D5" s="52"/>
      <c r="E5" s="53">
        <v>1</v>
      </c>
      <c r="F5" s="54" t="s">
        <v>16</v>
      </c>
      <c r="G5" s="55" t="s">
        <v>7</v>
      </c>
      <c r="H5" s="153">
        <f>E5*2.54</f>
        <v>2.54</v>
      </c>
      <c r="I5" s="56" t="s">
        <v>9</v>
      </c>
    </row>
    <row r="6" spans="1:9" ht="16.5" customHeight="1" thickBot="1" x14ac:dyDescent="0.25">
      <c r="B6" s="232"/>
      <c r="C6" s="57" t="s">
        <v>216</v>
      </c>
      <c r="D6" s="14"/>
      <c r="E6" s="58">
        <v>1</v>
      </c>
      <c r="F6" s="59" t="s">
        <v>9</v>
      </c>
      <c r="G6" s="60" t="s">
        <v>7</v>
      </c>
      <c r="H6" s="155">
        <f>E6/2.54</f>
        <v>0.39370078740157477</v>
      </c>
      <c r="I6" s="61" t="s">
        <v>16</v>
      </c>
    </row>
    <row r="7" spans="1:9" ht="16.5" customHeight="1" thickBot="1" x14ac:dyDescent="0.25"/>
    <row r="8" spans="1:9" ht="16.5" customHeight="1" x14ac:dyDescent="0.2">
      <c r="B8" s="231" t="s">
        <v>217</v>
      </c>
      <c r="C8" s="51" t="s">
        <v>44</v>
      </c>
      <c r="D8" s="52"/>
      <c r="E8" s="53">
        <v>1</v>
      </c>
      <c r="F8" s="54" t="s">
        <v>16</v>
      </c>
      <c r="G8" s="55" t="s">
        <v>7</v>
      </c>
      <c r="H8" s="153">
        <f>E8*25.4</f>
        <v>25.4</v>
      </c>
      <c r="I8" s="56" t="s">
        <v>12</v>
      </c>
    </row>
    <row r="9" spans="1:9" ht="16.5" customHeight="1" thickBot="1" x14ac:dyDescent="0.25">
      <c r="B9" s="232"/>
      <c r="C9" s="57" t="s">
        <v>218</v>
      </c>
      <c r="D9" s="14"/>
      <c r="E9" s="58">
        <v>1</v>
      </c>
      <c r="F9" s="59" t="s">
        <v>12</v>
      </c>
      <c r="G9" s="60" t="s">
        <v>7</v>
      </c>
      <c r="H9" s="205" t="s">
        <v>451</v>
      </c>
      <c r="I9" s="61" t="s">
        <v>16</v>
      </c>
    </row>
    <row r="10" spans="1:9" ht="16.5" customHeight="1" thickBot="1" x14ac:dyDescent="0.25"/>
    <row r="11" spans="1:9" ht="16.5" customHeight="1" x14ac:dyDescent="0.2">
      <c r="B11" s="231" t="s">
        <v>214</v>
      </c>
      <c r="C11" s="51" t="s">
        <v>52</v>
      </c>
      <c r="D11" s="52"/>
      <c r="E11" s="53">
        <v>1</v>
      </c>
      <c r="F11" s="54" t="s">
        <v>10</v>
      </c>
      <c r="G11" s="55" t="s">
        <v>7</v>
      </c>
      <c r="H11" s="156">
        <f>E11*3</f>
        <v>3</v>
      </c>
      <c r="I11" s="56" t="s">
        <v>13</v>
      </c>
    </row>
    <row r="12" spans="1:9" ht="16.5" customHeight="1" thickBot="1" x14ac:dyDescent="0.25">
      <c r="B12" s="232"/>
      <c r="C12" s="57" t="s">
        <v>219</v>
      </c>
      <c r="D12" s="14"/>
      <c r="E12" s="58">
        <v>1</v>
      </c>
      <c r="F12" s="59" t="s">
        <v>13</v>
      </c>
      <c r="G12" s="60" t="s">
        <v>7</v>
      </c>
      <c r="H12" s="155">
        <f>E12/3</f>
        <v>0.33333333333333331</v>
      </c>
      <c r="I12" s="61" t="s">
        <v>10</v>
      </c>
    </row>
    <row r="13" spans="1:9" ht="16.5" customHeight="1" thickBot="1" x14ac:dyDescent="0.25"/>
    <row r="14" spans="1:9" ht="16.5" customHeight="1" x14ac:dyDescent="0.2">
      <c r="B14" s="231" t="s">
        <v>220</v>
      </c>
      <c r="C14" s="51" t="s">
        <v>43</v>
      </c>
      <c r="D14" s="52"/>
      <c r="E14" s="53">
        <v>1</v>
      </c>
      <c r="F14" s="54" t="s">
        <v>13</v>
      </c>
      <c r="G14" s="55" t="s">
        <v>7</v>
      </c>
      <c r="H14" s="157">
        <f>E14*0.3048</f>
        <v>0.30480000000000002</v>
      </c>
      <c r="I14" s="56" t="s">
        <v>11</v>
      </c>
    </row>
    <row r="15" spans="1:9" ht="16.5" customHeight="1" thickBot="1" x14ac:dyDescent="0.25">
      <c r="B15" s="232"/>
      <c r="C15" s="57" t="s">
        <v>221</v>
      </c>
      <c r="D15" s="14"/>
      <c r="E15" s="58">
        <v>1</v>
      </c>
      <c r="F15" s="59" t="s">
        <v>11</v>
      </c>
      <c r="G15" s="60" t="s">
        <v>7</v>
      </c>
      <c r="H15" s="205" t="s">
        <v>451</v>
      </c>
      <c r="I15" s="61" t="s">
        <v>13</v>
      </c>
    </row>
    <row r="16" spans="1:9" ht="16.5" customHeight="1" thickBot="1" x14ac:dyDescent="0.25"/>
    <row r="17" spans="2:9" ht="16.5" customHeight="1" x14ac:dyDescent="0.2">
      <c r="B17" s="231" t="s">
        <v>227</v>
      </c>
      <c r="C17" s="51" t="s">
        <v>46</v>
      </c>
      <c r="D17" s="52"/>
      <c r="E17" s="62">
        <v>1</v>
      </c>
      <c r="F17" s="63" t="s">
        <v>17</v>
      </c>
      <c r="G17" s="64" t="s">
        <v>7</v>
      </c>
      <c r="H17" s="158">
        <f>E17*3281</f>
        <v>3281</v>
      </c>
      <c r="I17" s="65" t="s">
        <v>13</v>
      </c>
    </row>
    <row r="18" spans="2:9" ht="16.5" customHeight="1" thickBot="1" x14ac:dyDescent="0.25">
      <c r="B18" s="232"/>
      <c r="C18" s="57"/>
      <c r="D18" s="14"/>
      <c r="E18" s="66">
        <v>3281</v>
      </c>
      <c r="F18" s="67" t="s">
        <v>13</v>
      </c>
      <c r="G18" s="68" t="s">
        <v>7</v>
      </c>
      <c r="H18" s="159">
        <f>E18/3281</f>
        <v>1</v>
      </c>
      <c r="I18" s="69" t="s">
        <v>17</v>
      </c>
    </row>
    <row r="19" spans="2:9" ht="16.5" customHeight="1" thickBot="1" x14ac:dyDescent="0.25"/>
    <row r="20" spans="2:9" ht="16.5" customHeight="1" x14ac:dyDescent="0.2">
      <c r="B20" s="231" t="s">
        <v>228</v>
      </c>
      <c r="C20" s="51" t="s">
        <v>47</v>
      </c>
      <c r="D20" s="52"/>
      <c r="E20" s="62">
        <v>1</v>
      </c>
      <c r="F20" s="63" t="s">
        <v>17</v>
      </c>
      <c r="G20" s="64" t="s">
        <v>7</v>
      </c>
      <c r="H20" s="206" t="s">
        <v>451</v>
      </c>
      <c r="I20" s="65" t="s">
        <v>14</v>
      </c>
    </row>
    <row r="21" spans="2:9" ht="16.5" customHeight="1" thickBot="1" x14ac:dyDescent="0.25">
      <c r="B21" s="232"/>
      <c r="C21" s="57"/>
      <c r="D21" s="14"/>
      <c r="E21" s="66">
        <v>1094</v>
      </c>
      <c r="F21" s="67" t="s">
        <v>14</v>
      </c>
      <c r="G21" s="68" t="s">
        <v>7</v>
      </c>
      <c r="H21" s="159">
        <f>E21/1094</f>
        <v>1</v>
      </c>
      <c r="I21" s="69" t="s">
        <v>17</v>
      </c>
    </row>
    <row r="22" spans="2:9" ht="16.5" customHeight="1" thickBot="1" x14ac:dyDescent="0.25"/>
    <row r="23" spans="2:9" ht="16.5" customHeight="1" x14ac:dyDescent="0.2">
      <c r="B23" s="231" t="s">
        <v>229</v>
      </c>
      <c r="C23" s="51" t="s">
        <v>48</v>
      </c>
      <c r="D23" s="52"/>
      <c r="E23" s="62">
        <v>1</v>
      </c>
      <c r="F23" s="63" t="s">
        <v>17</v>
      </c>
      <c r="G23" s="64" t="s">
        <v>7</v>
      </c>
      <c r="H23" s="160">
        <f>E23*0.6214</f>
        <v>0.62139999999999995</v>
      </c>
      <c r="I23" s="65" t="s">
        <v>15</v>
      </c>
    </row>
    <row r="24" spans="2:9" ht="16.5" customHeight="1" thickBot="1" x14ac:dyDescent="0.25">
      <c r="B24" s="232"/>
      <c r="C24" s="57"/>
      <c r="D24" s="14"/>
      <c r="E24" s="73">
        <v>0.62139999999999995</v>
      </c>
      <c r="F24" s="67" t="s">
        <v>15</v>
      </c>
      <c r="G24" s="68" t="s">
        <v>7</v>
      </c>
      <c r="H24" s="159">
        <f>E24/0.6214</f>
        <v>1</v>
      </c>
      <c r="I24" s="69" t="s">
        <v>17</v>
      </c>
    </row>
    <row r="25" spans="2:9" ht="16.5" customHeight="1" thickBot="1" x14ac:dyDescent="0.25"/>
    <row r="26" spans="2:9" ht="16.5" customHeight="1" x14ac:dyDescent="0.2">
      <c r="B26" s="231" t="s">
        <v>222</v>
      </c>
      <c r="C26" s="51" t="s">
        <v>49</v>
      </c>
      <c r="D26" s="52"/>
      <c r="E26" s="53">
        <v>1</v>
      </c>
      <c r="F26" s="54" t="s">
        <v>15</v>
      </c>
      <c r="G26" s="55" t="s">
        <v>7</v>
      </c>
      <c r="H26" s="161">
        <f>E26*5280</f>
        <v>5280</v>
      </c>
      <c r="I26" s="56" t="s">
        <v>13</v>
      </c>
    </row>
    <row r="27" spans="2:9" ht="16.5" customHeight="1" thickBot="1" x14ac:dyDescent="0.25">
      <c r="B27" s="232"/>
      <c r="C27" s="57" t="s">
        <v>223</v>
      </c>
      <c r="D27" s="14"/>
      <c r="E27" s="74">
        <v>5280</v>
      </c>
      <c r="F27" s="59" t="s">
        <v>13</v>
      </c>
      <c r="G27" s="60" t="s">
        <v>7</v>
      </c>
      <c r="H27" s="155">
        <f>E27/5280</f>
        <v>1</v>
      </c>
      <c r="I27" s="61" t="s">
        <v>15</v>
      </c>
    </row>
    <row r="28" spans="2:9" ht="16.5" customHeight="1" thickBot="1" x14ac:dyDescent="0.25"/>
    <row r="29" spans="2:9" ht="16.5" customHeight="1" x14ac:dyDescent="0.2">
      <c r="B29" s="231" t="s">
        <v>224</v>
      </c>
      <c r="C29" s="51" t="s">
        <v>50</v>
      </c>
      <c r="D29" s="52"/>
      <c r="E29" s="53">
        <v>1</v>
      </c>
      <c r="F29" s="54" t="s">
        <v>15</v>
      </c>
      <c r="G29" s="55" t="s">
        <v>7</v>
      </c>
      <c r="H29" s="161">
        <f>E29*1760</f>
        <v>1760</v>
      </c>
      <c r="I29" s="56" t="s">
        <v>14</v>
      </c>
    </row>
    <row r="30" spans="2:9" ht="16.5" customHeight="1" thickBot="1" x14ac:dyDescent="0.25">
      <c r="B30" s="232"/>
      <c r="C30" s="57" t="s">
        <v>225</v>
      </c>
      <c r="D30" s="14"/>
      <c r="E30" s="74">
        <v>1760</v>
      </c>
      <c r="F30" s="59" t="s">
        <v>14</v>
      </c>
      <c r="G30" s="60" t="s">
        <v>7</v>
      </c>
      <c r="H30" s="155">
        <f>E30/1760</f>
        <v>1</v>
      </c>
      <c r="I30" s="61" t="s">
        <v>15</v>
      </c>
    </row>
    <row r="31" spans="2:9" ht="16.5" customHeight="1" thickBot="1" x14ac:dyDescent="0.25"/>
    <row r="32" spans="2:9" ht="16.5" customHeight="1" x14ac:dyDescent="0.2">
      <c r="B32" s="231" t="s">
        <v>226</v>
      </c>
      <c r="C32" s="51" t="s">
        <v>51</v>
      </c>
      <c r="D32" s="52"/>
      <c r="E32" s="62">
        <v>1</v>
      </c>
      <c r="F32" s="63" t="s">
        <v>15</v>
      </c>
      <c r="G32" s="64" t="s">
        <v>7</v>
      </c>
      <c r="H32" s="206" t="s">
        <v>451</v>
      </c>
      <c r="I32" s="65" t="s">
        <v>11</v>
      </c>
    </row>
    <row r="33" spans="2:9" ht="16.5" customHeight="1" thickBot="1" x14ac:dyDescent="0.25">
      <c r="B33" s="232"/>
      <c r="C33" s="57"/>
      <c r="D33" s="14"/>
      <c r="E33" s="75">
        <v>1609.3</v>
      </c>
      <c r="F33" s="67" t="s">
        <v>11</v>
      </c>
      <c r="G33" s="68" t="s">
        <v>7</v>
      </c>
      <c r="H33" s="159">
        <f>E33/1609.3</f>
        <v>1</v>
      </c>
      <c r="I33" s="69" t="s">
        <v>15</v>
      </c>
    </row>
    <row r="34" spans="2:9" ht="16.5" customHeight="1" thickBot="1" x14ac:dyDescent="0.25"/>
    <row r="35" spans="2:9" ht="16.5" customHeight="1" x14ac:dyDescent="0.2">
      <c r="B35" s="231" t="s">
        <v>231</v>
      </c>
      <c r="C35" s="51" t="s">
        <v>339</v>
      </c>
      <c r="D35" s="52"/>
      <c r="E35" s="62">
        <v>1</v>
      </c>
      <c r="F35" s="63" t="s">
        <v>12</v>
      </c>
      <c r="G35" s="64" t="s">
        <v>7</v>
      </c>
      <c r="H35" s="162">
        <f>E35*0.001</f>
        <v>1E-3</v>
      </c>
      <c r="I35" s="65" t="s">
        <v>18</v>
      </c>
    </row>
    <row r="36" spans="2:9" ht="16.5" customHeight="1" thickBot="1" x14ac:dyDescent="0.25">
      <c r="B36" s="232"/>
      <c r="C36" s="57" t="s">
        <v>338</v>
      </c>
      <c r="D36" s="14"/>
      <c r="E36" s="76">
        <v>1</v>
      </c>
      <c r="F36" s="67" t="s">
        <v>18</v>
      </c>
      <c r="G36" s="68" t="s">
        <v>7</v>
      </c>
      <c r="H36" s="163">
        <f>E36*1000</f>
        <v>1000</v>
      </c>
      <c r="I36" s="69" t="s">
        <v>12</v>
      </c>
    </row>
    <row r="37" spans="2:9" ht="16.5" customHeight="1" thickBot="1" x14ac:dyDescent="0.25"/>
    <row r="38" spans="2:9" ht="16.5" customHeight="1" x14ac:dyDescent="0.2">
      <c r="B38" s="231" t="s">
        <v>341</v>
      </c>
      <c r="C38" s="203" t="s">
        <v>342</v>
      </c>
      <c r="D38" s="52"/>
      <c r="E38" s="62">
        <v>1</v>
      </c>
      <c r="F38" s="63" t="s">
        <v>18</v>
      </c>
      <c r="G38" s="64" t="s">
        <v>7</v>
      </c>
      <c r="H38" s="207" t="s">
        <v>451</v>
      </c>
      <c r="I38" s="65" t="s">
        <v>17</v>
      </c>
    </row>
    <row r="39" spans="2:9" ht="16.5" customHeight="1" thickBot="1" x14ac:dyDescent="0.25">
      <c r="B39" s="232"/>
      <c r="C39" s="204" t="s">
        <v>340</v>
      </c>
      <c r="D39" s="14"/>
      <c r="E39" s="76">
        <v>1</v>
      </c>
      <c r="F39" s="67" t="s">
        <v>17</v>
      </c>
      <c r="G39" s="68" t="s">
        <v>7</v>
      </c>
      <c r="H39" s="163">
        <f>E39*1000</f>
        <v>1000</v>
      </c>
      <c r="I39" s="69" t="s">
        <v>18</v>
      </c>
    </row>
    <row r="40" spans="2:9" ht="16.5" customHeight="1" thickBot="1" x14ac:dyDescent="0.25"/>
    <row r="41" spans="2:9" ht="16.5" customHeight="1" x14ac:dyDescent="0.2">
      <c r="B41" s="231" t="s">
        <v>230</v>
      </c>
      <c r="C41" s="51" t="s">
        <v>53</v>
      </c>
      <c r="D41" s="52"/>
      <c r="E41" s="62">
        <v>1</v>
      </c>
      <c r="F41" s="63" t="s">
        <v>10</v>
      </c>
      <c r="G41" s="64" t="s">
        <v>7</v>
      </c>
      <c r="H41" s="164">
        <f>E41*0.9144</f>
        <v>0.91439999999999999</v>
      </c>
      <c r="I41" s="65" t="s">
        <v>11</v>
      </c>
    </row>
    <row r="42" spans="2:9" ht="16.5" customHeight="1" thickBot="1" x14ac:dyDescent="0.25">
      <c r="B42" s="232"/>
      <c r="C42" s="57" t="s">
        <v>343</v>
      </c>
      <c r="D42" s="14"/>
      <c r="E42" s="75">
        <v>1</v>
      </c>
      <c r="F42" s="67" t="s">
        <v>11</v>
      </c>
      <c r="G42" s="68" t="s">
        <v>7</v>
      </c>
      <c r="H42" s="159">
        <f>E42*1.09361</f>
        <v>1.09361</v>
      </c>
      <c r="I42" s="69" t="s">
        <v>10</v>
      </c>
    </row>
  </sheetData>
  <sheetProtection password="D910" sheet="1" objects="1" scenarios="1" selectLockedCells="1"/>
  <mergeCells count="17">
    <mergeCell ref="H4:I4"/>
    <mergeCell ref="F2:I2"/>
    <mergeCell ref="B32:B33"/>
    <mergeCell ref="B41:B42"/>
    <mergeCell ref="B35:B36"/>
    <mergeCell ref="B2:E2"/>
    <mergeCell ref="B26:B27"/>
    <mergeCell ref="B29:B30"/>
    <mergeCell ref="B17:B18"/>
    <mergeCell ref="B20:B21"/>
    <mergeCell ref="B23:B24"/>
    <mergeCell ref="B5:B6"/>
    <mergeCell ref="B11:B12"/>
    <mergeCell ref="B8:B9"/>
    <mergeCell ref="B14:B15"/>
    <mergeCell ref="B38:B39"/>
    <mergeCell ref="E4:F4"/>
  </mergeCells>
  <phoneticPr fontId="0" type="noConversion"/>
  <hyperlinks>
    <hyperlink ref="F2" location="Main!A1" display="MAIN SHEET"/>
  </hyperlinks>
  <pageMargins left="0.25" right="0.25" top="0.75" bottom="0.75" header="0.3" footer="0.3"/>
  <pageSetup orientation="portrait" r:id="rId1"/>
  <headerFooter>
    <oddFooter>&amp;L&amp;8&amp;F&amp;C&amp;8&amp;A&amp;R&amp;8&amp;D</oddFooter>
  </headerFooter>
  <webPublishItems count="1">
    <webPublishItem id="25360" divId="Units HVAC_25360" sourceType="sheet" destinationFile="C:\Users\jim\Desktop\Replct\Distance.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4"/>
  <sheetViews>
    <sheetView showGridLines="0" workbookViewId="0">
      <pane ySplit="4" topLeftCell="A19" activePane="bottomLeft" state="frozen"/>
      <selection pane="bottomLeft" activeCell="E29" sqref="E29"/>
    </sheetView>
  </sheetViews>
  <sheetFormatPr defaultRowHeight="15.75" customHeight="1" x14ac:dyDescent="0.2"/>
  <cols>
    <col min="1" max="1" width="4.7109375" customWidth="1"/>
    <col min="2" max="2" width="24.85546875" customWidth="1"/>
    <col min="3" max="3" width="28.5703125" bestFit="1" customWidth="1"/>
    <col min="4" max="4" width="3.5703125" customWidth="1"/>
    <col min="5" max="5" width="9.28515625" customWidth="1"/>
    <col min="6" max="6" width="12.140625" customWidth="1"/>
    <col min="7" max="7" width="3.42578125" customWidth="1"/>
    <col min="8" max="8" width="10.42578125" customWidth="1"/>
    <col min="9" max="9" width="13.85546875" customWidth="1"/>
  </cols>
  <sheetData>
    <row r="1" spans="1:9" ht="9" customHeight="1" thickBot="1" x14ac:dyDescent="0.25">
      <c r="A1" s="37"/>
    </row>
    <row r="2" spans="1:9" ht="21" customHeight="1" thickBot="1" x14ac:dyDescent="0.25">
      <c r="A2" s="37"/>
      <c r="B2" s="241" t="s">
        <v>67</v>
      </c>
      <c r="C2" s="241"/>
      <c r="D2" s="241"/>
      <c r="E2" s="242"/>
      <c r="F2" s="233" t="s">
        <v>211</v>
      </c>
      <c r="G2" s="234"/>
      <c r="H2" s="234"/>
      <c r="I2" s="235"/>
    </row>
    <row r="3" spans="1:9" ht="9.75" customHeight="1" thickTop="1" x14ac:dyDescent="0.2">
      <c r="C3" s="5"/>
      <c r="E3" s="1"/>
      <c r="F3" s="3"/>
    </row>
    <row r="4" spans="1:9" ht="15.75" customHeight="1" thickBot="1" x14ac:dyDescent="0.25">
      <c r="B4" s="50" t="s">
        <v>232</v>
      </c>
      <c r="C4" s="50" t="s">
        <v>42</v>
      </c>
      <c r="E4" s="238" t="s">
        <v>101</v>
      </c>
      <c r="F4" s="238"/>
      <c r="H4" s="238" t="s">
        <v>8</v>
      </c>
      <c r="I4" s="238"/>
    </row>
    <row r="5" spans="1:9" ht="15.75" customHeight="1" x14ac:dyDescent="0.2">
      <c r="B5" s="231" t="s">
        <v>239</v>
      </c>
      <c r="C5" s="51" t="s">
        <v>196</v>
      </c>
      <c r="D5" s="52"/>
      <c r="E5" s="53">
        <v>1</v>
      </c>
      <c r="F5" s="54" t="s">
        <v>197</v>
      </c>
      <c r="G5" s="55" t="s">
        <v>7</v>
      </c>
      <c r="H5" s="153">
        <f>E5*4</f>
        <v>4</v>
      </c>
      <c r="I5" s="56" t="s">
        <v>198</v>
      </c>
    </row>
    <row r="6" spans="1:9" ht="15.75" customHeight="1" thickBot="1" x14ac:dyDescent="0.25">
      <c r="B6" s="232"/>
      <c r="C6" s="79"/>
      <c r="D6" s="14"/>
      <c r="E6" s="58">
        <v>4</v>
      </c>
      <c r="F6" s="59" t="s">
        <v>198</v>
      </c>
      <c r="G6" s="60" t="s">
        <v>7</v>
      </c>
      <c r="H6" s="155">
        <f>E6/4</f>
        <v>1</v>
      </c>
      <c r="I6" s="61" t="s">
        <v>197</v>
      </c>
    </row>
    <row r="7" spans="1:9" ht="15.75" customHeight="1" thickBot="1" x14ac:dyDescent="0.25"/>
    <row r="8" spans="1:9" ht="15.75" customHeight="1" x14ac:dyDescent="0.2">
      <c r="B8" s="231" t="s">
        <v>240</v>
      </c>
      <c r="C8" s="51" t="s">
        <v>202</v>
      </c>
      <c r="D8" s="52"/>
      <c r="E8" s="53">
        <v>1</v>
      </c>
      <c r="F8" s="54" t="s">
        <v>197</v>
      </c>
      <c r="G8" s="55" t="s">
        <v>7</v>
      </c>
      <c r="H8" s="153">
        <f>E8*8</f>
        <v>8</v>
      </c>
      <c r="I8" s="56" t="s">
        <v>199</v>
      </c>
    </row>
    <row r="9" spans="1:9" ht="15.75" customHeight="1" thickBot="1" x14ac:dyDescent="0.25">
      <c r="B9" s="232"/>
      <c r="C9" s="79"/>
      <c r="D9" s="14"/>
      <c r="E9" s="58">
        <v>8</v>
      </c>
      <c r="F9" s="59" t="s">
        <v>199</v>
      </c>
      <c r="G9" s="60" t="s">
        <v>7</v>
      </c>
      <c r="H9" s="205" t="s">
        <v>451</v>
      </c>
      <c r="I9" s="61" t="s">
        <v>197</v>
      </c>
    </row>
    <row r="10" spans="1:9" ht="15.75" customHeight="1" thickBot="1" x14ac:dyDescent="0.25"/>
    <row r="11" spans="1:9" ht="15.75" customHeight="1" x14ac:dyDescent="0.2">
      <c r="B11" s="231" t="s">
        <v>244</v>
      </c>
      <c r="C11" s="51" t="s">
        <v>203</v>
      </c>
      <c r="D11" s="52"/>
      <c r="E11" s="53">
        <v>1</v>
      </c>
      <c r="F11" s="54" t="s">
        <v>197</v>
      </c>
      <c r="G11" s="55" t="s">
        <v>7</v>
      </c>
      <c r="H11" s="165">
        <f>E11*0.13368</f>
        <v>0.13367999999999999</v>
      </c>
      <c r="I11" s="56" t="s">
        <v>66</v>
      </c>
    </row>
    <row r="12" spans="1:9" ht="15.75" customHeight="1" thickBot="1" x14ac:dyDescent="0.25">
      <c r="B12" s="232"/>
      <c r="C12" s="79" t="s">
        <v>204</v>
      </c>
      <c r="D12" s="14"/>
      <c r="E12" s="58">
        <v>1</v>
      </c>
      <c r="F12" s="59" t="s">
        <v>66</v>
      </c>
      <c r="G12" s="60" t="s">
        <v>7</v>
      </c>
      <c r="H12" s="166">
        <f>E12/0.13368</f>
        <v>7.4805505685218439</v>
      </c>
      <c r="I12" s="61" t="s">
        <v>197</v>
      </c>
    </row>
    <row r="13" spans="1:9" ht="15.75" customHeight="1" thickBot="1" x14ac:dyDescent="0.25"/>
    <row r="14" spans="1:9" ht="15.75" customHeight="1" x14ac:dyDescent="0.2">
      <c r="B14" s="231" t="s">
        <v>241</v>
      </c>
      <c r="C14" s="51" t="s">
        <v>205</v>
      </c>
      <c r="D14" s="52"/>
      <c r="E14" s="53">
        <v>1</v>
      </c>
      <c r="F14" s="54" t="s">
        <v>198</v>
      </c>
      <c r="G14" s="55" t="s">
        <v>7</v>
      </c>
      <c r="H14" s="153">
        <f>E14*2</f>
        <v>2</v>
      </c>
      <c r="I14" s="56" t="s">
        <v>199</v>
      </c>
    </row>
    <row r="15" spans="1:9" ht="15.75" customHeight="1" thickBot="1" x14ac:dyDescent="0.25">
      <c r="B15" s="232"/>
      <c r="C15" s="79" t="s">
        <v>331</v>
      </c>
      <c r="D15" s="14"/>
      <c r="E15" s="58">
        <v>1</v>
      </c>
      <c r="F15" s="59" t="s">
        <v>199</v>
      </c>
      <c r="G15" s="60" t="s">
        <v>7</v>
      </c>
      <c r="H15" s="155">
        <f>E15/2</f>
        <v>0.5</v>
      </c>
      <c r="I15" s="61" t="s">
        <v>198</v>
      </c>
    </row>
    <row r="16" spans="1:9" ht="15.75" customHeight="1" thickBot="1" x14ac:dyDescent="0.25"/>
    <row r="17" spans="2:9" ht="15.75" customHeight="1" x14ac:dyDescent="0.2">
      <c r="B17" s="231" t="s">
        <v>242</v>
      </c>
      <c r="C17" s="51" t="s">
        <v>62</v>
      </c>
      <c r="D17" s="52"/>
      <c r="E17" s="53">
        <v>1</v>
      </c>
      <c r="F17" s="54" t="s">
        <v>69</v>
      </c>
      <c r="G17" s="55" t="s">
        <v>7</v>
      </c>
      <c r="H17" s="153">
        <f>E17*2</f>
        <v>2</v>
      </c>
      <c r="I17" s="56" t="s">
        <v>68</v>
      </c>
    </row>
    <row r="18" spans="2:9" ht="15.75" customHeight="1" thickBot="1" x14ac:dyDescent="0.25">
      <c r="B18" s="232"/>
      <c r="C18" s="79"/>
      <c r="D18" s="14"/>
      <c r="E18" s="58">
        <v>2</v>
      </c>
      <c r="F18" s="59" t="s">
        <v>68</v>
      </c>
      <c r="G18" s="60" t="s">
        <v>7</v>
      </c>
      <c r="H18" s="205" t="s">
        <v>451</v>
      </c>
      <c r="I18" s="61" t="s">
        <v>69</v>
      </c>
    </row>
    <row r="19" spans="2:9" ht="15.75" customHeight="1" thickBot="1" x14ac:dyDescent="0.25"/>
    <row r="20" spans="2:9" ht="15.75" customHeight="1" x14ac:dyDescent="0.2">
      <c r="B20" s="231" t="s">
        <v>243</v>
      </c>
      <c r="C20" s="51" t="s">
        <v>201</v>
      </c>
      <c r="D20" s="52"/>
      <c r="E20" s="53">
        <v>1</v>
      </c>
      <c r="F20" s="54" t="s">
        <v>200</v>
      </c>
      <c r="G20" s="55" t="s">
        <v>7</v>
      </c>
      <c r="H20" s="153">
        <f>E20*8</f>
        <v>8</v>
      </c>
      <c r="I20" s="56" t="s">
        <v>70</v>
      </c>
    </row>
    <row r="21" spans="2:9" ht="15.75" customHeight="1" thickBot="1" x14ac:dyDescent="0.25">
      <c r="B21" s="232"/>
      <c r="C21" s="79"/>
      <c r="D21" s="14"/>
      <c r="E21" s="58">
        <v>1</v>
      </c>
      <c r="F21" s="59" t="s">
        <v>70</v>
      </c>
      <c r="G21" s="60" t="s">
        <v>7</v>
      </c>
      <c r="H21" s="155">
        <f>E21/8</f>
        <v>0.125</v>
      </c>
      <c r="I21" s="61" t="s">
        <v>200</v>
      </c>
    </row>
    <row r="22" spans="2:9" ht="15.75" customHeight="1" thickBot="1" x14ac:dyDescent="0.25"/>
    <row r="23" spans="2:9" ht="15.75" customHeight="1" x14ac:dyDescent="0.2">
      <c r="B23" s="231" t="s">
        <v>317</v>
      </c>
      <c r="C23" s="51" t="s">
        <v>63</v>
      </c>
      <c r="D23" s="52"/>
      <c r="E23" s="53">
        <v>1</v>
      </c>
      <c r="F23" s="54" t="s">
        <v>72</v>
      </c>
      <c r="G23" s="55" t="s">
        <v>7</v>
      </c>
      <c r="H23" s="153">
        <f>E23*27</f>
        <v>27</v>
      </c>
      <c r="I23" s="56" t="s">
        <v>66</v>
      </c>
    </row>
    <row r="24" spans="2:9" ht="15.75" customHeight="1" thickBot="1" x14ac:dyDescent="0.25">
      <c r="B24" s="232"/>
      <c r="C24" s="79"/>
      <c r="D24" s="14"/>
      <c r="E24" s="58">
        <v>1</v>
      </c>
      <c r="F24" s="59" t="s">
        <v>66</v>
      </c>
      <c r="G24" s="60" t="s">
        <v>7</v>
      </c>
      <c r="H24" s="155">
        <f>E24/27</f>
        <v>3.7037037037037035E-2</v>
      </c>
      <c r="I24" s="61" t="s">
        <v>72</v>
      </c>
    </row>
    <row r="25" spans="2:9" ht="15.75" customHeight="1" thickBot="1" x14ac:dyDescent="0.25"/>
    <row r="26" spans="2:9" ht="15.75" customHeight="1" x14ac:dyDescent="0.2">
      <c r="B26" s="231" t="s">
        <v>319</v>
      </c>
      <c r="C26" s="51" t="s">
        <v>318</v>
      </c>
      <c r="D26" s="52"/>
      <c r="E26" s="53">
        <v>1</v>
      </c>
      <c r="F26" s="54" t="s">
        <v>72</v>
      </c>
      <c r="G26" s="55" t="s">
        <v>7</v>
      </c>
      <c r="H26" s="167">
        <f>E26*1616</f>
        <v>1616</v>
      </c>
      <c r="I26" s="56" t="s">
        <v>65</v>
      </c>
    </row>
    <row r="27" spans="2:9" ht="15.75" customHeight="1" thickBot="1" x14ac:dyDescent="0.25">
      <c r="B27" s="232"/>
      <c r="C27" s="79"/>
      <c r="D27" s="14"/>
      <c r="E27" s="74">
        <v>1616</v>
      </c>
      <c r="F27" s="59" t="s">
        <v>65</v>
      </c>
      <c r="G27" s="60" t="s">
        <v>7</v>
      </c>
      <c r="H27" s="168">
        <f>E27/1616</f>
        <v>1</v>
      </c>
      <c r="I27" s="61" t="s">
        <v>72</v>
      </c>
    </row>
    <row r="28" spans="2:9" ht="15.75" customHeight="1" thickBot="1" x14ac:dyDescent="0.25"/>
    <row r="29" spans="2:9" ht="15.75" customHeight="1" x14ac:dyDescent="0.2">
      <c r="B29" s="231" t="s">
        <v>320</v>
      </c>
      <c r="C29" s="51" t="s">
        <v>123</v>
      </c>
      <c r="D29" s="52"/>
      <c r="E29" s="53">
        <v>2</v>
      </c>
      <c r="F29" s="54" t="s">
        <v>72</v>
      </c>
      <c r="G29" s="55" t="s">
        <v>7</v>
      </c>
      <c r="H29" s="209" t="s">
        <v>451</v>
      </c>
      <c r="I29" s="56" t="s">
        <v>73</v>
      </c>
    </row>
    <row r="30" spans="2:9" ht="15.75" customHeight="1" thickBot="1" x14ac:dyDescent="0.25">
      <c r="B30" s="232"/>
      <c r="C30" s="79"/>
      <c r="D30" s="14"/>
      <c r="E30" s="58">
        <v>1</v>
      </c>
      <c r="F30" s="59" t="s">
        <v>73</v>
      </c>
      <c r="G30" s="60" t="s">
        <v>7</v>
      </c>
      <c r="H30" s="169">
        <f>E30/0.7646</f>
        <v>1.3078733978550878</v>
      </c>
      <c r="I30" s="61" t="s">
        <v>72</v>
      </c>
    </row>
    <row r="31" spans="2:9" ht="15.75" customHeight="1" thickBot="1" x14ac:dyDescent="0.25"/>
    <row r="32" spans="2:9" ht="15.75" customHeight="1" x14ac:dyDescent="0.2">
      <c r="B32" s="243" t="s">
        <v>321</v>
      </c>
      <c r="C32" s="51" t="s">
        <v>206</v>
      </c>
      <c r="D32" s="88"/>
      <c r="E32" s="89">
        <v>1</v>
      </c>
      <c r="F32" s="54" t="s">
        <v>72</v>
      </c>
      <c r="G32" s="55" t="s">
        <v>7</v>
      </c>
      <c r="H32" s="170">
        <f>E32*202</f>
        <v>202</v>
      </c>
      <c r="I32" s="56" t="s">
        <v>197</v>
      </c>
    </row>
    <row r="33" spans="2:9" ht="15.75" customHeight="1" thickBot="1" x14ac:dyDescent="0.25">
      <c r="B33" s="244"/>
      <c r="C33" s="79"/>
      <c r="D33" s="90"/>
      <c r="E33" s="91">
        <v>1</v>
      </c>
      <c r="F33" s="59" t="s">
        <v>197</v>
      </c>
      <c r="G33" s="60" t="s">
        <v>7</v>
      </c>
      <c r="H33" s="171">
        <f>E33/202</f>
        <v>4.9504950495049506E-3</v>
      </c>
      <c r="I33" s="61" t="s">
        <v>72</v>
      </c>
    </row>
    <row r="34" spans="2:9" ht="15.75" customHeight="1" thickBot="1" x14ac:dyDescent="0.25"/>
    <row r="35" spans="2:9" ht="15.75" customHeight="1" x14ac:dyDescent="0.2">
      <c r="B35" s="231" t="s">
        <v>322</v>
      </c>
      <c r="C35" s="51" t="s">
        <v>207</v>
      </c>
      <c r="D35" s="52"/>
      <c r="E35" s="53">
        <v>1</v>
      </c>
      <c r="F35" s="54" t="s">
        <v>102</v>
      </c>
      <c r="G35" s="55" t="s">
        <v>7</v>
      </c>
      <c r="H35" s="172">
        <f>E35*0.061</f>
        <v>6.0999999999999999E-2</v>
      </c>
      <c r="I35" s="56" t="s">
        <v>74</v>
      </c>
    </row>
    <row r="36" spans="2:9" ht="15.75" customHeight="1" thickBot="1" x14ac:dyDescent="0.25">
      <c r="B36" s="232"/>
      <c r="C36" s="79"/>
      <c r="D36" s="14"/>
      <c r="E36" s="58">
        <v>1</v>
      </c>
      <c r="F36" s="59" t="s">
        <v>74</v>
      </c>
      <c r="G36" s="60" t="s">
        <v>7</v>
      </c>
      <c r="H36" s="166">
        <f>E36/0.061</f>
        <v>16.393442622950818</v>
      </c>
      <c r="I36" s="61" t="s">
        <v>102</v>
      </c>
    </row>
    <row r="37" spans="2:9" ht="15.75" customHeight="1" thickBot="1" x14ac:dyDescent="0.25"/>
    <row r="38" spans="2:9" ht="15.75" customHeight="1" x14ac:dyDescent="0.2">
      <c r="B38" s="231" t="s">
        <v>323</v>
      </c>
      <c r="C38" s="51" t="s">
        <v>64</v>
      </c>
      <c r="D38" s="52"/>
      <c r="E38" s="53">
        <v>1</v>
      </c>
      <c r="F38" s="54" t="s">
        <v>71</v>
      </c>
      <c r="G38" s="55" t="s">
        <v>7</v>
      </c>
      <c r="H38" s="210" t="s">
        <v>451</v>
      </c>
      <c r="I38" s="56" t="s">
        <v>66</v>
      </c>
    </row>
    <row r="39" spans="2:9" ht="15.75" customHeight="1" thickBot="1" x14ac:dyDescent="0.25">
      <c r="B39" s="232"/>
      <c r="C39" s="79"/>
      <c r="D39" s="14"/>
      <c r="E39" s="58">
        <v>1</v>
      </c>
      <c r="F39" s="59" t="s">
        <v>66</v>
      </c>
      <c r="G39" s="60" t="s">
        <v>7</v>
      </c>
      <c r="H39" s="155">
        <f>E39/128</f>
        <v>7.8125E-3</v>
      </c>
      <c r="I39" s="61" t="s">
        <v>71</v>
      </c>
    </row>
    <row r="41" spans="2:9" ht="15.75" customHeight="1" thickBot="1" x14ac:dyDescent="0.25">
      <c r="B41" s="46" t="s">
        <v>3</v>
      </c>
    </row>
    <row r="42" spans="2:9" ht="15.75" customHeight="1" thickTop="1" x14ac:dyDescent="0.2">
      <c r="B42" s="43" t="s">
        <v>324</v>
      </c>
    </row>
    <row r="43" spans="2:9" ht="15.75" customHeight="1" x14ac:dyDescent="0.2">
      <c r="B43" s="44" t="s">
        <v>325</v>
      </c>
    </row>
    <row r="44" spans="2:9" ht="15.75" customHeight="1" x14ac:dyDescent="0.2">
      <c r="B44" s="45" t="s">
        <v>349</v>
      </c>
    </row>
  </sheetData>
  <sheetProtection password="D910" sheet="1" objects="1" scenarios="1" selectLockedCells="1"/>
  <mergeCells count="16">
    <mergeCell ref="F2:I2"/>
    <mergeCell ref="B17:B18"/>
    <mergeCell ref="E4:F4"/>
    <mergeCell ref="H4:I4"/>
    <mergeCell ref="B5:B6"/>
    <mergeCell ref="B35:B36"/>
    <mergeCell ref="B38:B39"/>
    <mergeCell ref="B2:E2"/>
    <mergeCell ref="B20:B21"/>
    <mergeCell ref="B23:B24"/>
    <mergeCell ref="B26:B27"/>
    <mergeCell ref="B29:B30"/>
    <mergeCell ref="B32:B33"/>
    <mergeCell ref="B8:B9"/>
    <mergeCell ref="B11:B12"/>
    <mergeCell ref="B14:B15"/>
  </mergeCells>
  <phoneticPr fontId="0" type="noConversion"/>
  <hyperlinks>
    <hyperlink ref="F2" location="Main!A1" display="MAIN SHEET"/>
  </hyperlinks>
  <pageMargins left="0.25" right="0.25" top="0.75" bottom="0.75" header="0.3" footer="0.3"/>
  <pageSetup scale="93" orientation="portrait" horizontalDpi="1200" verticalDpi="1200" r:id="rId1"/>
  <headerFooter alignWithMargins="0"/>
  <webPublishItems count="1">
    <webPublishItem id="12674" divId="Units HVAC_12674" sourceType="sheet" destinationFile="C:\Users\jim\Desktop\Replct\Volume.htm"/>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1"/>
  <sheetViews>
    <sheetView showGridLines="0" workbookViewId="0">
      <pane ySplit="4" topLeftCell="A5" activePane="bottomLeft" state="frozen"/>
      <selection pane="bottomLeft"/>
    </sheetView>
  </sheetViews>
  <sheetFormatPr defaultRowHeight="17.25" customHeight="1" x14ac:dyDescent="0.2"/>
  <cols>
    <col min="1" max="1" width="4.140625" customWidth="1"/>
    <col min="2" max="2" width="21.5703125" customWidth="1"/>
    <col min="3" max="3" width="29.28515625" customWidth="1"/>
    <col min="4" max="4" width="4" customWidth="1"/>
    <col min="5" max="5" width="9.28515625" customWidth="1"/>
    <col min="6" max="6" width="11" customWidth="1"/>
    <col min="7" max="7" width="3.42578125" customWidth="1"/>
    <col min="8" max="8" width="8.7109375" customWidth="1"/>
    <col min="9" max="9" width="15.5703125" customWidth="1"/>
  </cols>
  <sheetData>
    <row r="1" spans="1:9" ht="10.5" customHeight="1" thickBot="1" x14ac:dyDescent="0.25">
      <c r="A1" s="37"/>
    </row>
    <row r="2" spans="1:9" ht="22.5" customHeight="1" thickBot="1" x14ac:dyDescent="0.25">
      <c r="A2" s="37"/>
      <c r="B2" s="241" t="s">
        <v>75</v>
      </c>
      <c r="C2" s="241"/>
      <c r="D2" s="241"/>
      <c r="E2" s="242"/>
      <c r="F2" s="233" t="s">
        <v>211</v>
      </c>
      <c r="G2" s="234"/>
      <c r="H2" s="234"/>
      <c r="I2" s="235"/>
    </row>
    <row r="3" spans="1:9" ht="8.25" customHeight="1" thickTop="1" x14ac:dyDescent="0.2">
      <c r="E3" s="1"/>
    </row>
    <row r="4" spans="1:9" ht="17.25" customHeight="1" thickBot="1" x14ac:dyDescent="0.25">
      <c r="B4" s="50" t="s">
        <v>232</v>
      </c>
      <c r="C4" s="50" t="s">
        <v>42</v>
      </c>
      <c r="E4" s="238" t="s">
        <v>101</v>
      </c>
      <c r="F4" s="238"/>
      <c r="H4" s="238" t="s">
        <v>8</v>
      </c>
      <c r="I4" s="238"/>
    </row>
    <row r="5" spans="1:9" ht="17.25" customHeight="1" x14ac:dyDescent="0.2">
      <c r="B5" s="231" t="s">
        <v>245</v>
      </c>
      <c r="C5" s="51" t="s">
        <v>76</v>
      </c>
      <c r="D5" s="52"/>
      <c r="E5" s="92">
        <v>1</v>
      </c>
      <c r="F5" s="54" t="s">
        <v>34</v>
      </c>
      <c r="G5" s="55" t="s">
        <v>7</v>
      </c>
      <c r="H5" s="173">
        <f>E5*0.0114</f>
        <v>1.14E-2</v>
      </c>
      <c r="I5" s="56" t="s">
        <v>33</v>
      </c>
    </row>
    <row r="6" spans="1:9" ht="17.25" customHeight="1" thickBot="1" x14ac:dyDescent="0.25">
      <c r="B6" s="232"/>
      <c r="C6" s="57" t="s">
        <v>246</v>
      </c>
      <c r="D6" s="14"/>
      <c r="E6" s="58">
        <v>1</v>
      </c>
      <c r="F6" s="59" t="s">
        <v>33</v>
      </c>
      <c r="G6" s="60" t="s">
        <v>7</v>
      </c>
      <c r="H6" s="174">
        <f>E6/0.0114</f>
        <v>87.719298245614027</v>
      </c>
      <c r="I6" s="61" t="s">
        <v>34</v>
      </c>
    </row>
    <row r="7" spans="1:9" ht="17.25" customHeight="1" thickBot="1" x14ac:dyDescent="0.25"/>
    <row r="8" spans="1:9" ht="17.25" customHeight="1" x14ac:dyDescent="0.2">
      <c r="B8" s="231" t="s">
        <v>247</v>
      </c>
      <c r="C8" s="51" t="s">
        <v>86</v>
      </c>
      <c r="D8" s="52"/>
      <c r="E8" s="92">
        <v>1</v>
      </c>
      <c r="F8" s="54" t="s">
        <v>33</v>
      </c>
      <c r="G8" s="55" t="s">
        <v>7</v>
      </c>
      <c r="H8" s="211" t="s">
        <v>451</v>
      </c>
      <c r="I8" s="56" t="s">
        <v>135</v>
      </c>
    </row>
    <row r="9" spans="1:9" ht="17.25" customHeight="1" thickBot="1" x14ac:dyDescent="0.25">
      <c r="B9" s="232"/>
      <c r="C9" s="57" t="s">
        <v>248</v>
      </c>
      <c r="D9" s="14"/>
      <c r="E9" s="93">
        <v>1</v>
      </c>
      <c r="F9" s="59" t="s">
        <v>135</v>
      </c>
      <c r="G9" s="60" t="s">
        <v>7</v>
      </c>
      <c r="H9" s="166">
        <f>E9/1.467</f>
        <v>0.68166325835037489</v>
      </c>
      <c r="I9" s="61" t="s">
        <v>33</v>
      </c>
    </row>
    <row r="10" spans="1:9" ht="17.25" customHeight="1" thickBot="1" x14ac:dyDescent="0.25"/>
    <row r="11" spans="1:9" ht="17.25" customHeight="1" x14ac:dyDescent="0.2">
      <c r="B11" s="231" t="s">
        <v>249</v>
      </c>
      <c r="C11" s="51" t="s">
        <v>87</v>
      </c>
      <c r="D11" s="52"/>
      <c r="E11" s="92">
        <v>1</v>
      </c>
      <c r="F11" s="54" t="s">
        <v>133</v>
      </c>
      <c r="G11" s="55" t="s">
        <v>7</v>
      </c>
      <c r="H11" s="172">
        <f>E11*2.237</f>
        <v>2.2370000000000001</v>
      </c>
      <c r="I11" s="56" t="s">
        <v>33</v>
      </c>
    </row>
    <row r="12" spans="1:9" ht="17.25" customHeight="1" thickBot="1" x14ac:dyDescent="0.25">
      <c r="B12" s="232"/>
      <c r="C12" s="57" t="s">
        <v>250</v>
      </c>
      <c r="D12" s="14"/>
      <c r="E12" s="93">
        <v>1</v>
      </c>
      <c r="F12" s="59" t="s">
        <v>33</v>
      </c>
      <c r="G12" s="60" t="s">
        <v>7</v>
      </c>
      <c r="H12" s="166">
        <f>E12/2.237</f>
        <v>0.44702726866338843</v>
      </c>
      <c r="I12" s="61" t="s">
        <v>133</v>
      </c>
    </row>
    <row r="13" spans="1:9" ht="17.25" customHeight="1" thickBot="1" x14ac:dyDescent="0.25"/>
    <row r="14" spans="1:9" ht="17.25" customHeight="1" x14ac:dyDescent="0.2">
      <c r="B14" s="231" t="s">
        <v>251</v>
      </c>
      <c r="C14" s="51" t="s">
        <v>77</v>
      </c>
      <c r="D14" s="52"/>
      <c r="E14" s="92">
        <v>1</v>
      </c>
      <c r="F14" s="54" t="s">
        <v>36</v>
      </c>
      <c r="G14" s="55" t="s">
        <v>7</v>
      </c>
      <c r="H14" s="175">
        <f>E14*0.3048</f>
        <v>0.30480000000000002</v>
      </c>
      <c r="I14" s="56" t="s">
        <v>35</v>
      </c>
    </row>
    <row r="15" spans="1:9" ht="17.25" customHeight="1" thickBot="1" x14ac:dyDescent="0.25">
      <c r="B15" s="232"/>
      <c r="C15" s="57" t="s">
        <v>252</v>
      </c>
      <c r="D15" s="14"/>
      <c r="E15" s="93">
        <v>1</v>
      </c>
      <c r="F15" s="59" t="s">
        <v>35</v>
      </c>
      <c r="G15" s="60" t="s">
        <v>7</v>
      </c>
      <c r="H15" s="176">
        <f>E15/0.3048</f>
        <v>3.280839895013123</v>
      </c>
      <c r="I15" s="61" t="s">
        <v>36</v>
      </c>
    </row>
    <row r="16" spans="1:9" ht="17.25" customHeight="1" thickBot="1" x14ac:dyDescent="0.25"/>
    <row r="17" spans="2:9" ht="17.25" customHeight="1" x14ac:dyDescent="0.2">
      <c r="B17" s="231" t="s">
        <v>253</v>
      </c>
      <c r="C17" s="51" t="s">
        <v>78</v>
      </c>
      <c r="D17" s="52"/>
      <c r="E17" s="92">
        <v>1</v>
      </c>
      <c r="F17" s="54" t="s">
        <v>37</v>
      </c>
      <c r="G17" s="55" t="s">
        <v>7</v>
      </c>
      <c r="H17" s="209" t="s">
        <v>451</v>
      </c>
      <c r="I17" s="56" t="s">
        <v>35</v>
      </c>
    </row>
    <row r="18" spans="2:9" ht="17.25" customHeight="1" thickBot="1" x14ac:dyDescent="0.25">
      <c r="B18" s="232"/>
      <c r="C18" s="57" t="s">
        <v>254</v>
      </c>
      <c r="D18" s="14"/>
      <c r="E18" s="93">
        <v>1</v>
      </c>
      <c r="F18" s="59" t="s">
        <v>35</v>
      </c>
      <c r="G18" s="60" t="s">
        <v>7</v>
      </c>
      <c r="H18" s="176">
        <f>E18/0.2778</f>
        <v>3.599712023038157</v>
      </c>
      <c r="I18" s="61" t="s">
        <v>37</v>
      </c>
    </row>
    <row r="19" spans="2:9" ht="17.25" customHeight="1" thickBot="1" x14ac:dyDescent="0.25"/>
    <row r="20" spans="2:9" ht="17.25" customHeight="1" x14ac:dyDescent="0.2">
      <c r="B20" s="231" t="s">
        <v>256</v>
      </c>
      <c r="C20" s="51" t="s">
        <v>79</v>
      </c>
      <c r="D20" s="52"/>
      <c r="E20" s="94">
        <v>1</v>
      </c>
      <c r="F20" s="63" t="s">
        <v>37</v>
      </c>
      <c r="G20" s="64" t="s">
        <v>7</v>
      </c>
      <c r="H20" s="177">
        <f>E20*54.68</f>
        <v>54.68</v>
      </c>
      <c r="I20" s="65" t="s">
        <v>34</v>
      </c>
    </row>
    <row r="21" spans="2:9" ht="17.25" customHeight="1" thickBot="1" x14ac:dyDescent="0.25">
      <c r="B21" s="232"/>
      <c r="C21" s="57"/>
      <c r="D21" s="14"/>
      <c r="E21" s="76">
        <v>1</v>
      </c>
      <c r="F21" s="67" t="s">
        <v>34</v>
      </c>
      <c r="G21" s="68" t="s">
        <v>7</v>
      </c>
      <c r="H21" s="178">
        <f>E21/54.68</f>
        <v>1.8288222384784197E-2</v>
      </c>
      <c r="I21" s="69" t="s">
        <v>37</v>
      </c>
    </row>
    <row r="22" spans="2:9" ht="17.25" customHeight="1" thickBot="1" x14ac:dyDescent="0.25"/>
    <row r="23" spans="2:9" ht="17.25" customHeight="1" x14ac:dyDescent="0.2">
      <c r="B23" s="231" t="s">
        <v>257</v>
      </c>
      <c r="C23" s="51" t="s">
        <v>80</v>
      </c>
      <c r="D23" s="52"/>
      <c r="E23" s="94">
        <v>1</v>
      </c>
      <c r="F23" s="63" t="s">
        <v>37</v>
      </c>
      <c r="G23" s="64" t="s">
        <v>7</v>
      </c>
      <c r="H23" s="164">
        <f>E23*0.6214</f>
        <v>0.62139999999999995</v>
      </c>
      <c r="I23" s="65" t="s">
        <v>33</v>
      </c>
    </row>
    <row r="24" spans="2:9" ht="17.25" customHeight="1" thickBot="1" x14ac:dyDescent="0.25">
      <c r="B24" s="232"/>
      <c r="C24" s="57"/>
      <c r="D24" s="14"/>
      <c r="E24" s="76">
        <v>1</v>
      </c>
      <c r="F24" s="67" t="s">
        <v>33</v>
      </c>
      <c r="G24" s="68" t="s">
        <v>7</v>
      </c>
      <c r="H24" s="213" t="s">
        <v>451</v>
      </c>
      <c r="I24" s="69" t="s">
        <v>37</v>
      </c>
    </row>
    <row r="25" spans="2:9" ht="17.25" customHeight="1" thickBot="1" x14ac:dyDescent="0.25"/>
    <row r="26" spans="2:9" ht="17.25" customHeight="1" x14ac:dyDescent="0.2">
      <c r="B26" s="231" t="s">
        <v>261</v>
      </c>
      <c r="C26" s="51" t="s">
        <v>88</v>
      </c>
      <c r="D26" s="52"/>
      <c r="E26" s="92">
        <v>1</v>
      </c>
      <c r="F26" s="54" t="s">
        <v>133</v>
      </c>
      <c r="G26" s="55" t="s">
        <v>7</v>
      </c>
      <c r="H26" s="153">
        <f>E26*196.85</f>
        <v>196.85</v>
      </c>
      <c r="I26" s="56" t="s">
        <v>34</v>
      </c>
    </row>
    <row r="27" spans="2:9" ht="17.25" customHeight="1" thickBot="1" x14ac:dyDescent="0.25">
      <c r="B27" s="232"/>
      <c r="C27" s="57" t="s">
        <v>255</v>
      </c>
      <c r="D27" s="14"/>
      <c r="E27" s="93">
        <v>1</v>
      </c>
      <c r="F27" s="59" t="s">
        <v>34</v>
      </c>
      <c r="G27" s="60" t="s">
        <v>7</v>
      </c>
      <c r="H27" s="166">
        <f>E27/196.85</f>
        <v>5.0800101600203202E-3</v>
      </c>
      <c r="I27" s="61" t="s">
        <v>133</v>
      </c>
    </row>
    <row r="28" spans="2:9" ht="17.25" customHeight="1" thickBot="1" x14ac:dyDescent="0.25"/>
    <row r="29" spans="2:9" ht="17.25" customHeight="1" x14ac:dyDescent="0.2">
      <c r="B29" s="231" t="s">
        <v>258</v>
      </c>
      <c r="C29" s="51" t="s">
        <v>81</v>
      </c>
      <c r="D29" s="52"/>
      <c r="E29" s="94">
        <v>1</v>
      </c>
      <c r="F29" s="63" t="s">
        <v>37</v>
      </c>
      <c r="G29" s="64" t="s">
        <v>7</v>
      </c>
      <c r="H29" s="164">
        <f>E29*0.5396</f>
        <v>0.53959999999999997</v>
      </c>
      <c r="I29" s="65" t="s">
        <v>126</v>
      </c>
    </row>
    <row r="30" spans="2:9" ht="17.25" customHeight="1" thickBot="1" x14ac:dyDescent="0.25">
      <c r="B30" s="232"/>
      <c r="C30" s="57" t="s">
        <v>127</v>
      </c>
      <c r="D30" s="14"/>
      <c r="E30" s="76">
        <v>1</v>
      </c>
      <c r="F30" s="67" t="s">
        <v>126</v>
      </c>
      <c r="G30" s="68" t="s">
        <v>7</v>
      </c>
      <c r="H30" s="180">
        <f>E30*1.852</f>
        <v>1.8520000000000001</v>
      </c>
      <c r="I30" s="69" t="s">
        <v>37</v>
      </c>
    </row>
    <row r="31" spans="2:9" ht="17.25" customHeight="1" thickBot="1" x14ac:dyDescent="0.25"/>
    <row r="32" spans="2:9" ht="17.25" customHeight="1" x14ac:dyDescent="0.2">
      <c r="B32" s="231" t="s">
        <v>259</v>
      </c>
      <c r="C32" s="51" t="s">
        <v>82</v>
      </c>
      <c r="D32" s="52"/>
      <c r="E32" s="94">
        <v>1</v>
      </c>
      <c r="F32" s="63" t="s">
        <v>126</v>
      </c>
      <c r="G32" s="64" t="s">
        <v>7</v>
      </c>
      <c r="H32" s="212" t="s">
        <v>451</v>
      </c>
      <c r="I32" s="65" t="s">
        <v>33</v>
      </c>
    </row>
    <row r="33" spans="2:9" ht="17.25" customHeight="1" thickBot="1" x14ac:dyDescent="0.25">
      <c r="B33" s="232"/>
      <c r="C33" s="57"/>
      <c r="D33" s="14"/>
      <c r="E33" s="76">
        <v>1</v>
      </c>
      <c r="F33" s="67" t="s">
        <v>33</v>
      </c>
      <c r="G33" s="68" t="s">
        <v>7</v>
      </c>
      <c r="H33" s="179">
        <f>E33/1.1515</f>
        <v>0.86843247937472867</v>
      </c>
      <c r="I33" s="69" t="s">
        <v>126</v>
      </c>
    </row>
    <row r="34" spans="2:9" ht="17.25" customHeight="1" thickBot="1" x14ac:dyDescent="0.25"/>
    <row r="35" spans="2:9" ht="17.25" customHeight="1" x14ac:dyDescent="0.2">
      <c r="B35" s="231" t="s">
        <v>260</v>
      </c>
      <c r="C35" s="51" t="s">
        <v>128</v>
      </c>
      <c r="D35" s="52"/>
      <c r="E35" s="94">
        <v>1</v>
      </c>
      <c r="F35" s="63" t="s">
        <v>126</v>
      </c>
      <c r="G35" s="64" t="s">
        <v>7</v>
      </c>
      <c r="H35" s="181">
        <f>E35*1</f>
        <v>1</v>
      </c>
      <c r="I35" s="65" t="s">
        <v>129</v>
      </c>
    </row>
    <row r="36" spans="2:9" ht="17.25" customHeight="1" thickBot="1" x14ac:dyDescent="0.25">
      <c r="B36" s="232"/>
      <c r="C36" s="57"/>
      <c r="D36" s="14"/>
      <c r="E36" s="76">
        <v>1</v>
      </c>
      <c r="F36" s="67" t="s">
        <v>129</v>
      </c>
      <c r="G36" s="68" t="s">
        <v>7</v>
      </c>
      <c r="H36" s="159">
        <f>E36/1</f>
        <v>1</v>
      </c>
      <c r="I36" s="69" t="s">
        <v>126</v>
      </c>
    </row>
    <row r="37" spans="2:9" ht="17.25" customHeight="1" thickBot="1" x14ac:dyDescent="0.25"/>
    <row r="38" spans="2:9" ht="17.25" customHeight="1" x14ac:dyDescent="0.2">
      <c r="B38" s="231" t="s">
        <v>326</v>
      </c>
      <c r="C38" s="51" t="s">
        <v>83</v>
      </c>
      <c r="D38" s="52"/>
      <c r="E38" s="94">
        <v>1</v>
      </c>
      <c r="F38" s="63" t="s">
        <v>130</v>
      </c>
      <c r="G38" s="64" t="s">
        <v>7</v>
      </c>
      <c r="H38" s="181">
        <f>E38*3</f>
        <v>3</v>
      </c>
      <c r="I38" s="65" t="s">
        <v>131</v>
      </c>
    </row>
    <row r="39" spans="2:9" ht="17.25" customHeight="1" thickBot="1" x14ac:dyDescent="0.25">
      <c r="B39" s="232"/>
      <c r="C39" s="57"/>
      <c r="D39" s="14"/>
      <c r="E39" s="76">
        <v>1</v>
      </c>
      <c r="F39" s="67" t="s">
        <v>131</v>
      </c>
      <c r="G39" s="68" t="s">
        <v>7</v>
      </c>
      <c r="H39" s="159">
        <f>E39/3</f>
        <v>0.33333333333333331</v>
      </c>
      <c r="I39" s="69" t="s">
        <v>130</v>
      </c>
    </row>
    <row r="40" spans="2:9" ht="17.25" customHeight="1" thickBot="1" x14ac:dyDescent="0.25"/>
    <row r="41" spans="2:9" ht="17.25" customHeight="1" x14ac:dyDescent="0.2">
      <c r="B41" s="231" t="s">
        <v>327</v>
      </c>
      <c r="C41" s="51" t="s">
        <v>84</v>
      </c>
      <c r="D41" s="52"/>
      <c r="E41" s="94">
        <v>1</v>
      </c>
      <c r="F41" s="63" t="s">
        <v>132</v>
      </c>
      <c r="G41" s="64" t="s">
        <v>7</v>
      </c>
      <c r="H41" s="182">
        <f>E41*741.455</f>
        <v>741.45500000000004</v>
      </c>
      <c r="I41" s="65" t="s">
        <v>33</v>
      </c>
    </row>
    <row r="42" spans="2:9" ht="17.25" customHeight="1" thickBot="1" x14ac:dyDescent="0.25">
      <c r="B42" s="232"/>
      <c r="C42" s="57"/>
      <c r="D42" s="14"/>
      <c r="E42" s="76">
        <v>1</v>
      </c>
      <c r="F42" s="67" t="s">
        <v>33</v>
      </c>
      <c r="G42" s="68" t="s">
        <v>7</v>
      </c>
      <c r="H42" s="180">
        <f>E42/741.455</f>
        <v>1.3486995164912233E-3</v>
      </c>
      <c r="I42" s="69" t="s">
        <v>132</v>
      </c>
    </row>
    <row r="43" spans="2:9" ht="17.25" customHeight="1" thickBot="1" x14ac:dyDescent="0.25"/>
    <row r="44" spans="2:9" ht="17.25" customHeight="1" x14ac:dyDescent="0.2">
      <c r="B44" s="231" t="s">
        <v>328</v>
      </c>
      <c r="C44" s="51" t="s">
        <v>85</v>
      </c>
      <c r="D44" s="52"/>
      <c r="E44" s="94">
        <v>1</v>
      </c>
      <c r="F44" s="63" t="s">
        <v>132</v>
      </c>
      <c r="G44" s="64" t="s">
        <v>7</v>
      </c>
      <c r="H44" s="182">
        <f>E44*1193.256</f>
        <v>1193.2560000000001</v>
      </c>
      <c r="I44" s="65" t="s">
        <v>37</v>
      </c>
    </row>
    <row r="45" spans="2:9" ht="17.25" customHeight="1" thickBot="1" x14ac:dyDescent="0.25">
      <c r="B45" s="232"/>
      <c r="C45" s="57"/>
      <c r="D45" s="14"/>
      <c r="E45" s="76">
        <v>1</v>
      </c>
      <c r="F45" s="67" t="s">
        <v>37</v>
      </c>
      <c r="G45" s="68" t="s">
        <v>7</v>
      </c>
      <c r="H45" s="180">
        <f>E45/1193.256</f>
        <v>8.3804313575628361E-4</v>
      </c>
      <c r="I45" s="69" t="s">
        <v>132</v>
      </c>
    </row>
    <row r="46" spans="2:9" ht="17.25" customHeight="1" thickBot="1" x14ac:dyDescent="0.25"/>
    <row r="47" spans="2:9" ht="17.25" customHeight="1" x14ac:dyDescent="0.2">
      <c r="B47" s="231" t="s">
        <v>329</v>
      </c>
      <c r="C47" s="51" t="s">
        <v>89</v>
      </c>
      <c r="D47" s="52"/>
      <c r="E47" s="94">
        <v>1</v>
      </c>
      <c r="F47" s="63" t="s">
        <v>133</v>
      </c>
      <c r="G47" s="64" t="s">
        <v>7</v>
      </c>
      <c r="H47" s="181">
        <f>E47*3.6</f>
        <v>3.6</v>
      </c>
      <c r="I47" s="65" t="s">
        <v>134</v>
      </c>
    </row>
    <row r="48" spans="2:9" ht="17.25" customHeight="1" thickBot="1" x14ac:dyDescent="0.25">
      <c r="B48" s="232"/>
      <c r="C48" s="57"/>
      <c r="D48" s="14"/>
      <c r="E48" s="76">
        <v>1</v>
      </c>
      <c r="F48" s="67" t="s">
        <v>134</v>
      </c>
      <c r="G48" s="68" t="s">
        <v>7</v>
      </c>
      <c r="H48" s="159">
        <f>E48/3.6</f>
        <v>0.27777777777777779</v>
      </c>
      <c r="I48" s="69" t="s">
        <v>133</v>
      </c>
    </row>
    <row r="49" spans="2:9" ht="17.25" customHeight="1" thickBot="1" x14ac:dyDescent="0.25"/>
    <row r="50" spans="2:9" ht="17.25" customHeight="1" x14ac:dyDescent="0.2">
      <c r="B50" s="231" t="s">
        <v>330</v>
      </c>
      <c r="C50" s="51" t="s">
        <v>88</v>
      </c>
      <c r="D50" s="52"/>
      <c r="E50" s="94">
        <v>1</v>
      </c>
      <c r="F50" s="63" t="s">
        <v>133</v>
      </c>
      <c r="G50" s="64" t="s">
        <v>7</v>
      </c>
      <c r="H50" s="181">
        <f>E50*196.85</f>
        <v>196.85</v>
      </c>
      <c r="I50" s="65" t="s">
        <v>34</v>
      </c>
    </row>
    <row r="51" spans="2:9" ht="17.25" customHeight="1" thickBot="1" x14ac:dyDescent="0.25">
      <c r="B51" s="232"/>
      <c r="C51" s="57" t="s">
        <v>350</v>
      </c>
      <c r="D51" s="14"/>
      <c r="E51" s="76">
        <v>1</v>
      </c>
      <c r="F51" s="67" t="s">
        <v>34</v>
      </c>
      <c r="G51" s="68" t="s">
        <v>7</v>
      </c>
      <c r="H51" s="180">
        <f>E51*0.00508</f>
        <v>5.0800000000000003E-3</v>
      </c>
      <c r="I51" s="69" t="s">
        <v>133</v>
      </c>
    </row>
  </sheetData>
  <sheetProtection password="D910" sheet="1" objects="1" scenarios="1" selectLockedCells="1"/>
  <mergeCells count="20">
    <mergeCell ref="F2:I2"/>
    <mergeCell ref="B20:B21"/>
    <mergeCell ref="B23:B24"/>
    <mergeCell ref="B32:B33"/>
    <mergeCell ref="B8:B9"/>
    <mergeCell ref="B11:B12"/>
    <mergeCell ref="B14:B15"/>
    <mergeCell ref="B17:B18"/>
    <mergeCell ref="B26:B27"/>
    <mergeCell ref="E4:F4"/>
    <mergeCell ref="H4:I4"/>
    <mergeCell ref="B5:B6"/>
    <mergeCell ref="B47:B48"/>
    <mergeCell ref="B50:B51"/>
    <mergeCell ref="B2:E2"/>
    <mergeCell ref="B35:B36"/>
    <mergeCell ref="B29:B30"/>
    <mergeCell ref="B38:B39"/>
    <mergeCell ref="B41:B42"/>
    <mergeCell ref="B44:B45"/>
  </mergeCells>
  <phoneticPr fontId="0" type="noConversion"/>
  <hyperlinks>
    <hyperlink ref="F2" location="Main!A1" display="MAIN SHEET"/>
  </hyperlinks>
  <pageMargins left="0.25" right="0.25" top="0.75" bottom="0.75" header="0.3" footer="0.3"/>
  <pageSetup scale="80" orientation="portrait" horizontalDpi="1200" verticalDpi="1200" r:id="rId1"/>
  <headerFooter alignWithMargins="0"/>
  <webPublishItems count="1">
    <webPublishItem id="15115" divId="Units HVAC_15115" sourceType="sheet" destinationFile="C:\Users\jim\Desktop\Replct\Velocity.htm"/>
  </webPublishItem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8"/>
  <sheetViews>
    <sheetView showGridLines="0" workbookViewId="0">
      <pane ySplit="4" topLeftCell="A5" activePane="bottomLeft" state="frozen"/>
      <selection pane="bottomLeft" activeCell="F2" sqref="F2:I2"/>
    </sheetView>
  </sheetViews>
  <sheetFormatPr defaultRowHeight="17.25" customHeight="1" x14ac:dyDescent="0.2"/>
  <cols>
    <col min="1" max="1" width="4.28515625" customWidth="1"/>
    <col min="2" max="2" width="28.5703125" customWidth="1"/>
    <col min="3" max="3" width="30.85546875" bestFit="1" customWidth="1"/>
    <col min="4" max="4" width="4" customWidth="1"/>
    <col min="5" max="5" width="7.85546875" customWidth="1"/>
    <col min="6" max="6" width="12.5703125" customWidth="1"/>
    <col min="7" max="7" width="3.140625" customWidth="1"/>
    <col min="9" max="9" width="14" customWidth="1"/>
  </cols>
  <sheetData>
    <row r="1" spans="1:9" ht="10.5" customHeight="1" thickBot="1" x14ac:dyDescent="0.25">
      <c r="A1" s="37"/>
    </row>
    <row r="2" spans="1:9" ht="23.25" customHeight="1" thickBot="1" x14ac:dyDescent="0.25">
      <c r="A2" s="37"/>
      <c r="B2" s="236" t="s">
        <v>90</v>
      </c>
      <c r="C2" s="236"/>
      <c r="D2" s="236"/>
      <c r="E2" s="237"/>
      <c r="F2" s="233" t="s">
        <v>211</v>
      </c>
      <c r="G2" s="234"/>
      <c r="H2" s="234"/>
      <c r="I2" s="235"/>
    </row>
    <row r="3" spans="1:9" ht="12.75" customHeight="1" thickTop="1" x14ac:dyDescent="0.2">
      <c r="E3" s="1"/>
    </row>
    <row r="4" spans="1:9" ht="17.25" customHeight="1" thickBot="1" x14ac:dyDescent="0.25">
      <c r="B4" s="50" t="s">
        <v>232</v>
      </c>
      <c r="C4" s="50" t="s">
        <v>42</v>
      </c>
      <c r="E4" s="238" t="s">
        <v>101</v>
      </c>
      <c r="F4" s="238"/>
      <c r="H4" s="238" t="s">
        <v>8</v>
      </c>
      <c r="I4" s="238"/>
    </row>
    <row r="5" spans="1:9" ht="17.25" customHeight="1" x14ac:dyDescent="0.2">
      <c r="B5" s="231" t="s">
        <v>262</v>
      </c>
      <c r="C5" s="51" t="s">
        <v>91</v>
      </c>
      <c r="D5" s="52"/>
      <c r="E5" s="53">
        <v>1</v>
      </c>
      <c r="F5" s="54" t="s">
        <v>39</v>
      </c>
      <c r="G5" s="55" t="s">
        <v>7</v>
      </c>
      <c r="H5" s="153">
        <f>E5*14.7</f>
        <v>14.7</v>
      </c>
      <c r="I5" s="56" t="s">
        <v>38</v>
      </c>
    </row>
    <row r="6" spans="1:9" ht="17.25" customHeight="1" thickBot="1" x14ac:dyDescent="0.25">
      <c r="B6" s="232"/>
      <c r="C6" s="57" t="s">
        <v>263</v>
      </c>
      <c r="D6" s="95"/>
      <c r="E6" s="58">
        <v>1</v>
      </c>
      <c r="F6" s="59" t="s">
        <v>38</v>
      </c>
      <c r="G6" s="60" t="s">
        <v>7</v>
      </c>
      <c r="H6" s="155">
        <f>E6/14.7</f>
        <v>6.8027210884353748E-2</v>
      </c>
      <c r="I6" s="61" t="s">
        <v>39</v>
      </c>
    </row>
    <row r="7" spans="1:9" ht="17.25" customHeight="1" thickBot="1" x14ac:dyDescent="0.25"/>
    <row r="8" spans="1:9" ht="17.25" customHeight="1" x14ac:dyDescent="0.2">
      <c r="B8" s="231" t="s">
        <v>264</v>
      </c>
      <c r="C8" s="51" t="s">
        <v>265</v>
      </c>
      <c r="D8" s="52"/>
      <c r="E8" s="53">
        <v>1</v>
      </c>
      <c r="F8" s="54" t="s">
        <v>39</v>
      </c>
      <c r="G8" s="55" t="s">
        <v>7</v>
      </c>
      <c r="H8" s="183">
        <f>E8*2116.2</f>
        <v>2116.1999999999998</v>
      </c>
      <c r="I8" s="56" t="s">
        <v>144</v>
      </c>
    </row>
    <row r="9" spans="1:9" ht="17.25" customHeight="1" thickBot="1" x14ac:dyDescent="0.25">
      <c r="B9" s="232"/>
      <c r="C9" s="57" t="s">
        <v>266</v>
      </c>
      <c r="D9" s="14"/>
      <c r="E9" s="58">
        <v>1</v>
      </c>
      <c r="F9" s="59" t="s">
        <v>144</v>
      </c>
      <c r="G9" s="60" t="s">
        <v>7</v>
      </c>
      <c r="H9" s="205" t="s">
        <v>451</v>
      </c>
      <c r="I9" s="61" t="s">
        <v>39</v>
      </c>
    </row>
    <row r="10" spans="1:9" ht="17.25" customHeight="1" thickBot="1" x14ac:dyDescent="0.25"/>
    <row r="11" spans="1:9" ht="17.25" customHeight="1" x14ac:dyDescent="0.2">
      <c r="B11" s="231" t="s">
        <v>267</v>
      </c>
      <c r="C11" s="51" t="s">
        <v>92</v>
      </c>
      <c r="D11" s="52"/>
      <c r="E11" s="53">
        <v>1</v>
      </c>
      <c r="F11" s="54" t="s">
        <v>39</v>
      </c>
      <c r="G11" s="55" t="s">
        <v>7</v>
      </c>
      <c r="H11" s="153">
        <f>E11*29.92</f>
        <v>29.92</v>
      </c>
      <c r="I11" s="56" t="s">
        <v>40</v>
      </c>
    </row>
    <row r="12" spans="1:9" ht="17.25" customHeight="1" thickBot="1" x14ac:dyDescent="0.25">
      <c r="B12" s="232"/>
      <c r="C12" s="57" t="s">
        <v>268</v>
      </c>
      <c r="D12" s="14"/>
      <c r="E12" s="58">
        <v>1</v>
      </c>
      <c r="F12" s="59" t="s">
        <v>40</v>
      </c>
      <c r="G12" s="60" t="s">
        <v>7</v>
      </c>
      <c r="H12" s="155">
        <f>E12/29.92</f>
        <v>3.3422459893048123E-2</v>
      </c>
      <c r="I12" s="61" t="s">
        <v>39</v>
      </c>
    </row>
    <row r="13" spans="1:9" ht="17.25" customHeight="1" thickBot="1" x14ac:dyDescent="0.25"/>
    <row r="14" spans="1:9" ht="17.25" customHeight="1" x14ac:dyDescent="0.2">
      <c r="B14" s="231" t="s">
        <v>269</v>
      </c>
      <c r="C14" s="51" t="s">
        <v>195</v>
      </c>
      <c r="D14" s="52"/>
      <c r="E14" s="53">
        <v>1</v>
      </c>
      <c r="F14" s="54" t="s">
        <v>136</v>
      </c>
      <c r="G14" s="55" t="s">
        <v>7</v>
      </c>
      <c r="H14" s="157">
        <f>E14*0.0739</f>
        <v>7.3899999999999993E-2</v>
      </c>
      <c r="I14" s="56" t="s">
        <v>140</v>
      </c>
    </row>
    <row r="15" spans="1:9" ht="17.25" customHeight="1" thickBot="1" x14ac:dyDescent="0.25">
      <c r="B15" s="232"/>
      <c r="C15" s="57" t="s">
        <v>270</v>
      </c>
      <c r="D15" s="14"/>
      <c r="E15" s="58">
        <v>1</v>
      </c>
      <c r="F15" s="59" t="s">
        <v>140</v>
      </c>
      <c r="G15" s="60" t="s">
        <v>7</v>
      </c>
      <c r="H15" s="155">
        <f>E15/0.0739</f>
        <v>13.531799729364007</v>
      </c>
      <c r="I15" s="61" t="s">
        <v>136</v>
      </c>
    </row>
    <row r="16" spans="1:9" ht="17.25" customHeight="1" thickBot="1" x14ac:dyDescent="0.25"/>
    <row r="17" spans="2:9" ht="17.25" customHeight="1" x14ac:dyDescent="0.2">
      <c r="B17" s="231" t="s">
        <v>271</v>
      </c>
      <c r="C17" s="51" t="s">
        <v>272</v>
      </c>
      <c r="D17" s="52"/>
      <c r="E17" s="53">
        <v>1</v>
      </c>
      <c r="F17" s="54" t="s">
        <v>40</v>
      </c>
      <c r="G17" s="55" t="s">
        <v>7</v>
      </c>
      <c r="H17" s="153">
        <f>E17*12.8</f>
        <v>12.8</v>
      </c>
      <c r="I17" s="56" t="s">
        <v>136</v>
      </c>
    </row>
    <row r="18" spans="2:9" ht="17.25" customHeight="1" thickBot="1" x14ac:dyDescent="0.25">
      <c r="B18" s="232"/>
      <c r="C18" s="57" t="s">
        <v>273</v>
      </c>
      <c r="D18" s="14"/>
      <c r="E18" s="58">
        <v>1</v>
      </c>
      <c r="F18" s="59" t="s">
        <v>136</v>
      </c>
      <c r="G18" s="60" t="s">
        <v>7</v>
      </c>
      <c r="H18" s="169">
        <f>E18/12.8</f>
        <v>7.8125E-2</v>
      </c>
      <c r="I18" s="61" t="s">
        <v>40</v>
      </c>
    </row>
    <row r="19" spans="2:9" ht="17.25" customHeight="1" thickBot="1" x14ac:dyDescent="0.25"/>
    <row r="20" spans="2:9" ht="17.25" customHeight="1" x14ac:dyDescent="0.2">
      <c r="B20" s="231" t="s">
        <v>274</v>
      </c>
      <c r="C20" s="51" t="s">
        <v>275</v>
      </c>
      <c r="D20" s="52"/>
      <c r="E20" s="53">
        <v>1</v>
      </c>
      <c r="F20" s="54" t="s">
        <v>137</v>
      </c>
      <c r="G20" s="55" t="s">
        <v>7</v>
      </c>
      <c r="H20" s="209" t="s">
        <v>451</v>
      </c>
      <c r="I20" s="56" t="s">
        <v>41</v>
      </c>
    </row>
    <row r="21" spans="2:9" ht="17.25" customHeight="1" thickBot="1" x14ac:dyDescent="0.25">
      <c r="B21" s="232"/>
      <c r="C21" s="57" t="s">
        <v>276</v>
      </c>
      <c r="D21" s="14"/>
      <c r="E21" s="58">
        <v>1</v>
      </c>
      <c r="F21" s="59" t="s">
        <v>41</v>
      </c>
      <c r="G21" s="60" t="s">
        <v>7</v>
      </c>
      <c r="H21" s="155">
        <f>E21/0.4335</f>
        <v>2.306805074971165</v>
      </c>
      <c r="I21" s="61" t="s">
        <v>137</v>
      </c>
    </row>
    <row r="22" spans="2:9" ht="17.25" customHeight="1" thickBot="1" x14ac:dyDescent="0.25"/>
    <row r="23" spans="2:9" ht="17.25" customHeight="1" x14ac:dyDescent="0.2">
      <c r="B23" s="231" t="s">
        <v>277</v>
      </c>
      <c r="C23" s="51" t="s">
        <v>278</v>
      </c>
      <c r="D23" s="52"/>
      <c r="E23" s="53">
        <v>1</v>
      </c>
      <c r="F23" s="54" t="s">
        <v>137</v>
      </c>
      <c r="G23" s="55" t="s">
        <v>7</v>
      </c>
      <c r="H23" s="153">
        <f>E23*62.43</f>
        <v>62.43</v>
      </c>
      <c r="I23" s="56" t="s">
        <v>139</v>
      </c>
    </row>
    <row r="24" spans="2:9" ht="17.25" customHeight="1" thickBot="1" x14ac:dyDescent="0.25">
      <c r="B24" s="232"/>
      <c r="C24" s="57" t="s">
        <v>279</v>
      </c>
      <c r="D24" s="14"/>
      <c r="E24" s="58">
        <v>1</v>
      </c>
      <c r="F24" s="59" t="s">
        <v>139</v>
      </c>
      <c r="G24" s="60" t="s">
        <v>7</v>
      </c>
      <c r="H24" s="155">
        <f>E24/62.43</f>
        <v>1.6017940092904054E-2</v>
      </c>
      <c r="I24" s="61" t="s">
        <v>137</v>
      </c>
    </row>
    <row r="25" spans="2:9" ht="17.25" customHeight="1" thickBot="1" x14ac:dyDescent="0.25"/>
    <row r="26" spans="2:9" ht="17.25" customHeight="1" x14ac:dyDescent="0.2">
      <c r="B26" s="231" t="s">
        <v>280</v>
      </c>
      <c r="C26" s="51" t="s">
        <v>281</v>
      </c>
      <c r="D26" s="52"/>
      <c r="E26" s="53">
        <v>1</v>
      </c>
      <c r="F26" s="54" t="s">
        <v>138</v>
      </c>
      <c r="G26" s="55" t="s">
        <v>7</v>
      </c>
      <c r="H26" s="165">
        <f>E26*0.01934</f>
        <v>1.934E-2</v>
      </c>
      <c r="I26" s="56" t="s">
        <v>142</v>
      </c>
    </row>
    <row r="27" spans="2:9" ht="17.25" customHeight="1" thickBot="1" x14ac:dyDescent="0.25">
      <c r="B27" s="232"/>
      <c r="C27" s="57" t="s">
        <v>282</v>
      </c>
      <c r="D27" s="14"/>
      <c r="E27" s="58">
        <v>1</v>
      </c>
      <c r="F27" s="59" t="s">
        <v>142</v>
      </c>
      <c r="G27" s="60" t="s">
        <v>7</v>
      </c>
      <c r="H27" s="155">
        <f>E27/0.01934</f>
        <v>51.706308169596689</v>
      </c>
      <c r="I27" s="61" t="s">
        <v>138</v>
      </c>
    </row>
    <row r="28" spans="2:9" ht="17.25" customHeight="1" thickBot="1" x14ac:dyDescent="0.25"/>
    <row r="29" spans="2:9" ht="17.25" customHeight="1" x14ac:dyDescent="0.2">
      <c r="B29" s="231" t="s">
        <v>335</v>
      </c>
      <c r="C29" s="51" t="s">
        <v>332</v>
      </c>
      <c r="D29" s="52"/>
      <c r="E29" s="53">
        <v>1</v>
      </c>
      <c r="F29" s="54" t="s">
        <v>144</v>
      </c>
      <c r="G29" s="55" t="s">
        <v>7</v>
      </c>
      <c r="H29" s="153">
        <f>E29*47.88</f>
        <v>47.88</v>
      </c>
      <c r="I29" s="56" t="s">
        <v>337</v>
      </c>
    </row>
    <row r="30" spans="2:9" ht="17.25" customHeight="1" thickBot="1" x14ac:dyDescent="0.25">
      <c r="B30" s="232"/>
      <c r="C30" s="57" t="s">
        <v>336</v>
      </c>
      <c r="D30" s="14"/>
      <c r="E30" s="58">
        <v>1</v>
      </c>
      <c r="F30" s="59" t="s">
        <v>337</v>
      </c>
      <c r="G30" s="60"/>
      <c r="H30" s="155">
        <f>E30/47.88</f>
        <v>2.0885547201336674E-2</v>
      </c>
      <c r="I30" s="61" t="s">
        <v>144</v>
      </c>
    </row>
    <row r="31" spans="2:9" ht="17.25" customHeight="1" thickBot="1" x14ac:dyDescent="0.25"/>
    <row r="32" spans="2:9" ht="17.25" customHeight="1" x14ac:dyDescent="0.2">
      <c r="B32" s="231" t="s">
        <v>333</v>
      </c>
      <c r="C32" s="51" t="s">
        <v>141</v>
      </c>
      <c r="D32" s="52"/>
      <c r="E32" s="53">
        <v>1</v>
      </c>
      <c r="F32" s="54" t="s">
        <v>138</v>
      </c>
      <c r="G32" s="55" t="s">
        <v>7</v>
      </c>
      <c r="H32" s="153">
        <f>E32*1</f>
        <v>1</v>
      </c>
      <c r="I32" s="56" t="s">
        <v>143</v>
      </c>
    </row>
    <row r="33" spans="2:13" ht="17.25" customHeight="1" thickBot="1" x14ac:dyDescent="0.25">
      <c r="B33" s="232"/>
      <c r="C33" s="57" t="s">
        <v>351</v>
      </c>
      <c r="D33" s="95"/>
      <c r="E33" s="58">
        <v>2</v>
      </c>
      <c r="F33" s="59" t="s">
        <v>143</v>
      </c>
      <c r="G33" s="60" t="s">
        <v>7</v>
      </c>
      <c r="H33" s="155">
        <f>E33*1</f>
        <v>2</v>
      </c>
      <c r="I33" s="61" t="s">
        <v>138</v>
      </c>
      <c r="J33" s="20"/>
      <c r="K33" s="20"/>
      <c r="L33" s="20"/>
      <c r="M33" s="20"/>
    </row>
    <row r="34" spans="2:13" ht="17.25" customHeight="1" thickBot="1" x14ac:dyDescent="0.25">
      <c r="C34" s="2" t="s">
        <v>5</v>
      </c>
    </row>
    <row r="35" spans="2:13" ht="17.25" customHeight="1" thickTop="1" x14ac:dyDescent="0.2">
      <c r="C35" s="96" t="s">
        <v>124</v>
      </c>
    </row>
    <row r="36" spans="2:13" ht="17.25" customHeight="1" x14ac:dyDescent="0.2">
      <c r="C36" s="97" t="s">
        <v>125</v>
      </c>
    </row>
    <row r="37" spans="2:13" ht="17.25" customHeight="1" x14ac:dyDescent="0.2">
      <c r="C37" s="97" t="s">
        <v>4</v>
      </c>
    </row>
    <row r="38" spans="2:13" ht="17.25" customHeight="1" x14ac:dyDescent="0.2">
      <c r="C38" s="87"/>
    </row>
  </sheetData>
  <sheetProtection password="D910" sheet="1" objects="1" scenarios="1" selectLockedCells="1"/>
  <mergeCells count="14">
    <mergeCell ref="B23:B24"/>
    <mergeCell ref="B26:B27"/>
    <mergeCell ref="F2:I2"/>
    <mergeCell ref="B29:B30"/>
    <mergeCell ref="B32:B33"/>
    <mergeCell ref="B2:E2"/>
    <mergeCell ref="B8:B9"/>
    <mergeCell ref="B11:B12"/>
    <mergeCell ref="B14:B15"/>
    <mergeCell ref="B17:B18"/>
    <mergeCell ref="B20:B21"/>
    <mergeCell ref="E4:F4"/>
    <mergeCell ref="H4:I4"/>
    <mergeCell ref="B5:B6"/>
  </mergeCells>
  <phoneticPr fontId="0" type="noConversion"/>
  <hyperlinks>
    <hyperlink ref="F2" location="Main!A1" display="MAIN SHEET"/>
  </hyperlinks>
  <pageMargins left="0.25" right="0.25" top="0.75" bottom="0.75" header="0.3" footer="0.3"/>
  <pageSetup scale="90" orientation="portrait" horizontalDpi="1200" verticalDpi="1200" r:id="rId1"/>
  <headerFooter alignWithMargins="0"/>
  <webPublishItems count="1">
    <webPublishItem id="17363" divId="Units HVAC_17363" sourceType="sheet" destinationFile="C:\Users\jim\Desktop\Replct\Pressure.htm"/>
  </webPublishItem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1"/>
  <sheetViews>
    <sheetView showGridLines="0" workbookViewId="0">
      <selection activeCell="F2" sqref="F2:I2"/>
    </sheetView>
  </sheetViews>
  <sheetFormatPr defaultRowHeight="15.75" customHeight="1" x14ac:dyDescent="0.2"/>
  <cols>
    <col min="1" max="1" width="4.7109375" customWidth="1"/>
    <col min="2" max="2" width="20.5703125" customWidth="1"/>
    <col min="3" max="3" width="27" customWidth="1"/>
    <col min="4" max="4" width="3.28515625" customWidth="1"/>
    <col min="5" max="5" width="8.5703125" customWidth="1"/>
    <col min="6" max="6" width="10.140625" customWidth="1"/>
    <col min="7" max="7" width="3.42578125" customWidth="1"/>
    <col min="9" max="9" width="11.5703125" customWidth="1"/>
  </cols>
  <sheetData>
    <row r="1" spans="1:9" ht="12" customHeight="1" thickBot="1" x14ac:dyDescent="0.25">
      <c r="A1" s="37"/>
    </row>
    <row r="2" spans="1:9" ht="21.75" customHeight="1" thickBot="1" x14ac:dyDescent="0.25">
      <c r="A2" s="37"/>
      <c r="B2" s="236" t="s">
        <v>93</v>
      </c>
      <c r="C2" s="236"/>
      <c r="D2" s="236"/>
      <c r="E2" s="237"/>
      <c r="F2" s="233" t="s">
        <v>211</v>
      </c>
      <c r="G2" s="234"/>
      <c r="H2" s="234"/>
      <c r="I2" s="235"/>
    </row>
    <row r="3" spans="1:9" ht="15.75" customHeight="1" thickTop="1" x14ac:dyDescent="0.2">
      <c r="E3" s="1"/>
    </row>
    <row r="4" spans="1:9" ht="15.75" customHeight="1" thickBot="1" x14ac:dyDescent="0.25">
      <c r="B4" s="50" t="s">
        <v>232</v>
      </c>
      <c r="C4" s="50" t="s">
        <v>42</v>
      </c>
      <c r="E4" s="238" t="s">
        <v>101</v>
      </c>
      <c r="F4" s="238"/>
      <c r="H4" s="238" t="s">
        <v>8</v>
      </c>
      <c r="I4" s="238"/>
    </row>
    <row r="5" spans="1:9" ht="15.75" customHeight="1" x14ac:dyDescent="0.2">
      <c r="B5" s="231" t="s">
        <v>283</v>
      </c>
      <c r="C5" s="51" t="s">
        <v>189</v>
      </c>
      <c r="D5" s="52"/>
      <c r="E5" s="92">
        <v>1</v>
      </c>
      <c r="F5" s="54" t="s">
        <v>19</v>
      </c>
      <c r="G5" s="55" t="s">
        <v>7</v>
      </c>
      <c r="H5" s="184">
        <f>E5*1000</f>
        <v>1000</v>
      </c>
      <c r="I5" s="56" t="s">
        <v>190</v>
      </c>
    </row>
    <row r="6" spans="1:9" ht="15.75" customHeight="1" thickBot="1" x14ac:dyDescent="0.25">
      <c r="B6" s="232"/>
      <c r="C6" s="79" t="s">
        <v>352</v>
      </c>
      <c r="D6" s="14"/>
      <c r="E6" s="93">
        <v>1</v>
      </c>
      <c r="F6" s="59" t="s">
        <v>190</v>
      </c>
      <c r="G6" s="60" t="s">
        <v>7</v>
      </c>
      <c r="H6" s="185">
        <f>E6/1000</f>
        <v>1E-3</v>
      </c>
      <c r="I6" s="61" t="s">
        <v>19</v>
      </c>
    </row>
    <row r="7" spans="1:9" ht="15.75" customHeight="1" thickBot="1" x14ac:dyDescent="0.25"/>
    <row r="8" spans="1:9" ht="15.75" customHeight="1" x14ac:dyDescent="0.2">
      <c r="B8" s="231" t="s">
        <v>284</v>
      </c>
      <c r="C8" s="51" t="s">
        <v>94</v>
      </c>
      <c r="D8" s="52"/>
      <c r="E8" s="92">
        <v>1</v>
      </c>
      <c r="F8" s="54" t="s">
        <v>19</v>
      </c>
      <c r="G8" s="55" t="s">
        <v>7</v>
      </c>
      <c r="H8" s="186">
        <f>E8*2.2046</f>
        <v>2.2046000000000001</v>
      </c>
      <c r="I8" s="56" t="s">
        <v>20</v>
      </c>
    </row>
    <row r="9" spans="1:9" ht="15.75" customHeight="1" thickBot="1" x14ac:dyDescent="0.25">
      <c r="B9" s="232"/>
      <c r="C9" s="79" t="s">
        <v>334</v>
      </c>
      <c r="D9" s="14"/>
      <c r="E9" s="93">
        <v>1</v>
      </c>
      <c r="F9" s="59" t="s">
        <v>20</v>
      </c>
      <c r="G9" s="60" t="s">
        <v>7</v>
      </c>
      <c r="H9" s="185">
        <f>E9/2.2046</f>
        <v>0.4535970244035199</v>
      </c>
      <c r="I9" s="61" t="s">
        <v>19</v>
      </c>
    </row>
    <row r="10" spans="1:9" ht="15.75" customHeight="1" thickBot="1" x14ac:dyDescent="0.25"/>
    <row r="11" spans="1:9" ht="15.75" customHeight="1" x14ac:dyDescent="0.2">
      <c r="B11" s="231" t="s">
        <v>285</v>
      </c>
      <c r="C11" s="51" t="s">
        <v>95</v>
      </c>
      <c r="D11" s="52"/>
      <c r="E11" s="92">
        <v>1</v>
      </c>
      <c r="F11" s="54" t="s">
        <v>22</v>
      </c>
      <c r="G11" s="55" t="s">
        <v>7</v>
      </c>
      <c r="H11" s="167">
        <f>E11*16</f>
        <v>16</v>
      </c>
      <c r="I11" s="56" t="s">
        <v>21</v>
      </c>
    </row>
    <row r="12" spans="1:9" ht="15.75" customHeight="1" thickBot="1" x14ac:dyDescent="0.25">
      <c r="B12" s="232"/>
      <c r="C12" s="79"/>
      <c r="D12" s="14"/>
      <c r="E12" s="93">
        <v>1</v>
      </c>
      <c r="F12" s="59" t="s">
        <v>21</v>
      </c>
      <c r="G12" s="60" t="s">
        <v>7</v>
      </c>
      <c r="H12" s="214" t="s">
        <v>451</v>
      </c>
      <c r="I12" s="61" t="s">
        <v>22</v>
      </c>
    </row>
    <row r="13" spans="1:9" ht="15.75" customHeight="1" thickBot="1" x14ac:dyDescent="0.25"/>
    <row r="14" spans="1:9" ht="15.75" customHeight="1" x14ac:dyDescent="0.2">
      <c r="B14" s="231" t="s">
        <v>286</v>
      </c>
      <c r="C14" s="51" t="s">
        <v>191</v>
      </c>
      <c r="D14" s="52"/>
      <c r="E14" s="92">
        <v>1</v>
      </c>
      <c r="F14" s="54" t="s">
        <v>22</v>
      </c>
      <c r="G14" s="55" t="s">
        <v>7</v>
      </c>
      <c r="H14" s="167">
        <f>E14*453.6</f>
        <v>453.6</v>
      </c>
      <c r="I14" s="56" t="s">
        <v>190</v>
      </c>
    </row>
    <row r="15" spans="1:9" ht="15.75" customHeight="1" thickBot="1" x14ac:dyDescent="0.25">
      <c r="B15" s="232"/>
      <c r="C15" s="79"/>
      <c r="D15" s="14"/>
      <c r="E15" s="93">
        <v>1</v>
      </c>
      <c r="F15" s="59" t="s">
        <v>190</v>
      </c>
      <c r="G15" s="60" t="s">
        <v>7</v>
      </c>
      <c r="H15" s="187">
        <f>E15/453.6</f>
        <v>2.2045855379188711E-3</v>
      </c>
      <c r="I15" s="61" t="s">
        <v>22</v>
      </c>
    </row>
    <row r="16" spans="1:9" ht="15.75" customHeight="1" thickBot="1" x14ac:dyDescent="0.25"/>
    <row r="17" spans="2:9" ht="15.75" customHeight="1" x14ac:dyDescent="0.2">
      <c r="B17" s="231" t="s">
        <v>287</v>
      </c>
      <c r="C17" s="51" t="s">
        <v>193</v>
      </c>
      <c r="D17" s="52"/>
      <c r="E17" s="92">
        <v>1</v>
      </c>
      <c r="F17" s="54" t="s">
        <v>190</v>
      </c>
      <c r="G17" s="55" t="s">
        <v>7</v>
      </c>
      <c r="H17" s="186">
        <f>E17*0.0353</f>
        <v>3.5299999999999998E-2</v>
      </c>
      <c r="I17" s="56" t="s">
        <v>21</v>
      </c>
    </row>
    <row r="18" spans="2:9" ht="15.75" customHeight="1" thickBot="1" x14ac:dyDescent="0.25">
      <c r="B18" s="232"/>
      <c r="C18" s="79" t="s">
        <v>192</v>
      </c>
      <c r="D18" s="14"/>
      <c r="E18" s="93">
        <v>1</v>
      </c>
      <c r="F18" s="59" t="s">
        <v>21</v>
      </c>
      <c r="G18" s="60" t="s">
        <v>7</v>
      </c>
      <c r="H18" s="168">
        <f>E18/0.0353</f>
        <v>28.328611898016998</v>
      </c>
      <c r="I18" s="61" t="s">
        <v>190</v>
      </c>
    </row>
    <row r="19" spans="2:9" ht="15.75" customHeight="1" thickBot="1" x14ac:dyDescent="0.25"/>
    <row r="20" spans="2:9" ht="15.75" customHeight="1" x14ac:dyDescent="0.2">
      <c r="B20" s="231" t="s">
        <v>288</v>
      </c>
      <c r="C20" s="51" t="s">
        <v>96</v>
      </c>
      <c r="D20" s="52"/>
      <c r="E20" s="92">
        <v>1</v>
      </c>
      <c r="F20" s="54" t="s">
        <v>23</v>
      </c>
      <c r="G20" s="55" t="s">
        <v>7</v>
      </c>
      <c r="H20" s="184">
        <f>E20*2000</f>
        <v>2000</v>
      </c>
      <c r="I20" s="56" t="s">
        <v>20</v>
      </c>
    </row>
    <row r="21" spans="2:9" ht="15.75" customHeight="1" thickBot="1" x14ac:dyDescent="0.25">
      <c r="B21" s="232"/>
      <c r="C21" s="79" t="s">
        <v>353</v>
      </c>
      <c r="D21" s="14"/>
      <c r="E21" s="93">
        <v>1</v>
      </c>
      <c r="F21" s="59" t="s">
        <v>20</v>
      </c>
      <c r="G21" s="60" t="s">
        <v>7</v>
      </c>
      <c r="H21" s="187">
        <f>E21/2000</f>
        <v>5.0000000000000001E-4</v>
      </c>
      <c r="I21" s="61" t="s">
        <v>23</v>
      </c>
    </row>
    <row r="22" spans="2:9" ht="15.75" customHeight="1" thickBot="1" x14ac:dyDescent="0.25"/>
    <row r="23" spans="2:9" ht="15.75" customHeight="1" x14ac:dyDescent="0.2">
      <c r="B23" s="231" t="s">
        <v>289</v>
      </c>
      <c r="C23" s="51" t="s">
        <v>97</v>
      </c>
      <c r="D23" s="52"/>
      <c r="E23" s="92">
        <v>1</v>
      </c>
      <c r="F23" s="54" t="s">
        <v>23</v>
      </c>
      <c r="G23" s="55" t="s">
        <v>7</v>
      </c>
      <c r="H23" s="215" t="s">
        <v>451</v>
      </c>
      <c r="I23" s="56" t="s">
        <v>19</v>
      </c>
    </row>
    <row r="24" spans="2:9" ht="15.75" customHeight="1" thickBot="1" x14ac:dyDescent="0.25">
      <c r="B24" s="232"/>
      <c r="C24" s="79"/>
      <c r="D24" s="14"/>
      <c r="E24" s="93">
        <v>1</v>
      </c>
      <c r="F24" s="59" t="s">
        <v>19</v>
      </c>
      <c r="G24" s="60" t="s">
        <v>7</v>
      </c>
      <c r="H24" s="187">
        <f>E24/907</f>
        <v>1.1025358324145535E-3</v>
      </c>
      <c r="I24" s="61" t="s">
        <v>23</v>
      </c>
    </row>
    <row r="25" spans="2:9" ht="15.75" customHeight="1" thickBot="1" x14ac:dyDescent="0.25"/>
    <row r="26" spans="2:9" ht="15.75" customHeight="1" x14ac:dyDescent="0.2">
      <c r="B26" s="231" t="s">
        <v>290</v>
      </c>
      <c r="C26" s="51" t="s">
        <v>292</v>
      </c>
      <c r="D26" s="52"/>
      <c r="E26" s="92">
        <v>1</v>
      </c>
      <c r="F26" s="54" t="s">
        <v>174</v>
      </c>
      <c r="G26" s="55" t="s">
        <v>7</v>
      </c>
      <c r="H26" s="167">
        <f>E26*8.33</f>
        <v>8.33</v>
      </c>
      <c r="I26" s="56" t="s">
        <v>175</v>
      </c>
    </row>
    <row r="27" spans="2:9" ht="15.75" customHeight="1" thickBot="1" x14ac:dyDescent="0.25">
      <c r="B27" s="232"/>
      <c r="C27" s="79"/>
      <c r="D27" s="14"/>
      <c r="E27" s="93">
        <v>1</v>
      </c>
      <c r="F27" s="59" t="s">
        <v>175</v>
      </c>
      <c r="G27" s="60" t="s">
        <v>7</v>
      </c>
      <c r="H27" s="185">
        <f>E27/8.33</f>
        <v>0.12004801920768307</v>
      </c>
      <c r="I27" s="61" t="s">
        <v>174</v>
      </c>
    </row>
    <row r="28" spans="2:9" ht="15.75" customHeight="1" thickBot="1" x14ac:dyDescent="0.25"/>
    <row r="29" spans="2:9" ht="15.75" customHeight="1" x14ac:dyDescent="0.2">
      <c r="B29" s="231" t="s">
        <v>291</v>
      </c>
      <c r="C29" s="51" t="s">
        <v>98</v>
      </c>
      <c r="D29" s="52"/>
      <c r="E29" s="92">
        <v>1</v>
      </c>
      <c r="F29" s="54" t="s">
        <v>24</v>
      </c>
      <c r="G29" s="55" t="s">
        <v>7</v>
      </c>
      <c r="H29" s="188">
        <f>E29*14.594</f>
        <v>14.593999999999999</v>
      </c>
      <c r="I29" s="56" t="s">
        <v>19</v>
      </c>
    </row>
    <row r="30" spans="2:9" ht="15.75" customHeight="1" thickBot="1" x14ac:dyDescent="0.25">
      <c r="B30" s="232"/>
      <c r="C30" s="79"/>
      <c r="D30" s="14"/>
      <c r="E30" s="93">
        <v>1</v>
      </c>
      <c r="F30" s="59" t="s">
        <v>19</v>
      </c>
      <c r="G30" s="60" t="s">
        <v>7</v>
      </c>
      <c r="H30" s="168">
        <f>E30/14.594</f>
        <v>6.8521310127449636E-2</v>
      </c>
      <c r="I30" s="61" t="s">
        <v>24</v>
      </c>
    </row>
    <row r="31" spans="2:9" ht="15.75" customHeight="1" x14ac:dyDescent="0.2">
      <c r="C31" s="19"/>
    </row>
  </sheetData>
  <sheetProtection password="D910" sheet="1" objects="1" scenarios="1" selectLockedCells="1"/>
  <mergeCells count="13">
    <mergeCell ref="B23:B24"/>
    <mergeCell ref="B26:B27"/>
    <mergeCell ref="B29:B30"/>
    <mergeCell ref="F2:I2"/>
    <mergeCell ref="B2:E2"/>
    <mergeCell ref="B14:B15"/>
    <mergeCell ref="B17:B18"/>
    <mergeCell ref="B20:B21"/>
    <mergeCell ref="B5:B6"/>
    <mergeCell ref="B8:B9"/>
    <mergeCell ref="B11:B12"/>
    <mergeCell ref="E4:F4"/>
    <mergeCell ref="H4:I4"/>
  </mergeCells>
  <phoneticPr fontId="0" type="noConversion"/>
  <hyperlinks>
    <hyperlink ref="F2" location="Main!A1" display="MAIN SHEET"/>
  </hyperlinks>
  <pageMargins left="0.25" right="0.25" top="0.75" bottom="0.75" header="0.3" footer="0.3"/>
  <pageSetup orientation="portrait" horizontalDpi="1200" verticalDpi="1200" r:id="rId1"/>
  <headerFooter alignWithMargins="0"/>
  <webPublishItems count="1">
    <webPublishItem id="19637" divId="Units HVAC_19637" sourceType="sheet" destinationFile="C:\Users\jim\Desktop\Replct\Weight.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tabSelected="1" workbookViewId="0">
      <selection activeCell="E11" sqref="E11"/>
    </sheetView>
  </sheetViews>
  <sheetFormatPr defaultRowHeight="19.149999999999999" customHeight="1" x14ac:dyDescent="0.2"/>
  <cols>
    <col min="1" max="1" width="3.85546875" style="99" customWidth="1"/>
    <col min="2" max="2" width="22.7109375" style="99" customWidth="1"/>
    <col min="3" max="3" width="26" style="99" customWidth="1"/>
    <col min="4" max="4" width="2.7109375" style="99" customWidth="1"/>
    <col min="5" max="5" width="10.140625" style="99" customWidth="1"/>
    <col min="6" max="6" width="12.42578125" style="99" customWidth="1"/>
    <col min="7" max="7" width="5.140625" style="99" customWidth="1"/>
    <col min="8" max="8" width="10" style="99" customWidth="1"/>
    <col min="9" max="9" width="12.28515625" style="99" customWidth="1"/>
    <col min="10" max="16384" width="9.140625" style="99"/>
  </cols>
  <sheetData>
    <row r="1" spans="1:9" ht="12" customHeight="1" thickBot="1" x14ac:dyDescent="0.25"/>
    <row r="2" spans="1:9" ht="19.149999999999999" customHeight="1" thickBot="1" x14ac:dyDescent="0.25">
      <c r="A2" s="98"/>
      <c r="B2" s="236" t="s">
        <v>418</v>
      </c>
      <c r="C2" s="236"/>
      <c r="D2" s="236"/>
      <c r="E2" s="236"/>
      <c r="F2" s="237"/>
      <c r="G2" s="247" t="s">
        <v>211</v>
      </c>
      <c r="H2" s="248"/>
      <c r="I2" s="249"/>
    </row>
    <row r="3" spans="1:9" ht="21" customHeight="1" thickTop="1" thickBot="1" x14ac:dyDescent="0.25">
      <c r="B3" s="18"/>
      <c r="D3" s="1"/>
    </row>
    <row r="4" spans="1:9" ht="19.5" customHeight="1" thickBot="1" x14ac:dyDescent="0.25">
      <c r="B4" s="119" t="s">
        <v>232</v>
      </c>
      <c r="C4" s="120" t="s">
        <v>42</v>
      </c>
      <c r="E4" s="250" t="s">
        <v>101</v>
      </c>
      <c r="F4" s="251"/>
      <c r="H4" s="250" t="s">
        <v>8</v>
      </c>
      <c r="I4" s="251"/>
    </row>
    <row r="5" spans="1:9" ht="19.5" customHeight="1" x14ac:dyDescent="0.2">
      <c r="B5" s="245" t="s">
        <v>419</v>
      </c>
      <c r="C5" s="104" t="s">
        <v>420</v>
      </c>
      <c r="D5" s="105"/>
      <c r="E5" s="106">
        <v>1</v>
      </c>
      <c r="F5" s="107" t="s">
        <v>421</v>
      </c>
      <c r="G5" s="108" t="s">
        <v>7</v>
      </c>
      <c r="H5" s="149">
        <f>E5*24</f>
        <v>24</v>
      </c>
      <c r="I5" s="109" t="s">
        <v>422</v>
      </c>
    </row>
    <row r="6" spans="1:9" ht="19.5" customHeight="1" thickBot="1" x14ac:dyDescent="0.25">
      <c r="B6" s="246"/>
      <c r="C6" s="110" t="s">
        <v>423</v>
      </c>
      <c r="D6" s="111"/>
      <c r="E6" s="112">
        <v>1</v>
      </c>
      <c r="F6" s="113" t="s">
        <v>422</v>
      </c>
      <c r="G6" s="114" t="s">
        <v>7</v>
      </c>
      <c r="H6" s="150">
        <f>E6/24</f>
        <v>4.1666666666666664E-2</v>
      </c>
      <c r="I6" s="115" t="s">
        <v>421</v>
      </c>
    </row>
    <row r="7" spans="1:9" ht="19.5" customHeight="1" thickBot="1" x14ac:dyDescent="0.25"/>
    <row r="8" spans="1:9" ht="19.5" customHeight="1" x14ac:dyDescent="0.2">
      <c r="B8" s="245" t="s">
        <v>424</v>
      </c>
      <c r="C8" s="104" t="s">
        <v>425</v>
      </c>
      <c r="D8" s="105"/>
      <c r="E8" s="106">
        <v>1</v>
      </c>
      <c r="F8" s="107" t="s">
        <v>421</v>
      </c>
      <c r="G8" s="108" t="s">
        <v>7</v>
      </c>
      <c r="H8" s="151">
        <f>E8*1440</f>
        <v>1440</v>
      </c>
      <c r="I8" s="109" t="s">
        <v>426</v>
      </c>
    </row>
    <row r="9" spans="1:9" ht="19.5" customHeight="1" thickBot="1" x14ac:dyDescent="0.25">
      <c r="B9" s="246"/>
      <c r="C9" s="110"/>
      <c r="D9" s="111"/>
      <c r="E9" s="112">
        <v>1</v>
      </c>
      <c r="F9" s="113" t="s">
        <v>426</v>
      </c>
      <c r="G9" s="114" t="s">
        <v>7</v>
      </c>
      <c r="H9" s="152">
        <f>E9/1440</f>
        <v>6.9444444444444447E-4</v>
      </c>
      <c r="I9" s="115" t="s">
        <v>421</v>
      </c>
    </row>
    <row r="10" spans="1:9" ht="19.5" customHeight="1" thickBot="1" x14ac:dyDescent="0.25"/>
    <row r="11" spans="1:9" ht="19.5" customHeight="1" x14ac:dyDescent="0.2">
      <c r="B11" s="245" t="s">
        <v>427</v>
      </c>
      <c r="C11" s="104" t="s">
        <v>428</v>
      </c>
      <c r="D11" s="105"/>
      <c r="E11" s="106">
        <v>1</v>
      </c>
      <c r="F11" s="107" t="s">
        <v>429</v>
      </c>
      <c r="G11" s="108" t="s">
        <v>7</v>
      </c>
      <c r="H11" s="151">
        <f>E11*60</f>
        <v>60</v>
      </c>
      <c r="I11" s="109" t="s">
        <v>426</v>
      </c>
    </row>
    <row r="12" spans="1:9" ht="19.5" customHeight="1" thickBot="1" x14ac:dyDescent="0.25">
      <c r="B12" s="246"/>
      <c r="C12" s="110"/>
      <c r="D12" s="111"/>
      <c r="E12" s="112">
        <v>1</v>
      </c>
      <c r="F12" s="113" t="s">
        <v>426</v>
      </c>
      <c r="G12" s="114" t="s">
        <v>7</v>
      </c>
      <c r="H12" s="152">
        <f>E12/60</f>
        <v>1.6666666666666666E-2</v>
      </c>
      <c r="I12" s="115" t="s">
        <v>429</v>
      </c>
    </row>
    <row r="13" spans="1:9" ht="19.5" customHeight="1" thickBot="1" x14ac:dyDescent="0.25"/>
    <row r="14" spans="1:9" ht="19.5" customHeight="1" x14ac:dyDescent="0.2">
      <c r="B14" s="245" t="s">
        <v>430</v>
      </c>
      <c r="C14" s="104" t="s">
        <v>431</v>
      </c>
      <c r="D14" s="105"/>
      <c r="E14" s="106">
        <v>1</v>
      </c>
      <c r="F14" s="107" t="s">
        <v>426</v>
      </c>
      <c r="G14" s="108" t="s">
        <v>7</v>
      </c>
      <c r="H14" s="151">
        <f>E14*60</f>
        <v>60</v>
      </c>
      <c r="I14" s="109" t="s">
        <v>432</v>
      </c>
    </row>
    <row r="15" spans="1:9" ht="19.5" customHeight="1" thickBot="1" x14ac:dyDescent="0.25">
      <c r="B15" s="246"/>
      <c r="C15" s="110"/>
      <c r="D15" s="111"/>
      <c r="E15" s="112">
        <v>1</v>
      </c>
      <c r="F15" s="113" t="s">
        <v>432</v>
      </c>
      <c r="G15" s="114" t="s">
        <v>7</v>
      </c>
      <c r="H15" s="152">
        <f>E15/60</f>
        <v>1.6666666666666666E-2</v>
      </c>
      <c r="I15" s="115" t="s">
        <v>426</v>
      </c>
    </row>
    <row r="16" spans="1:9" ht="19.5" customHeight="1" thickBot="1" x14ac:dyDescent="0.25"/>
    <row r="17" spans="2:9" ht="19.5" customHeight="1" x14ac:dyDescent="0.2">
      <c r="B17" s="245" t="s">
        <v>433</v>
      </c>
      <c r="C17" s="104" t="s">
        <v>434</v>
      </c>
      <c r="D17" s="105"/>
      <c r="E17" s="106">
        <v>1</v>
      </c>
      <c r="F17" s="107" t="s">
        <v>435</v>
      </c>
      <c r="G17" s="108" t="s">
        <v>7</v>
      </c>
      <c r="H17" s="151">
        <f>E17*12</f>
        <v>12</v>
      </c>
      <c r="I17" s="109" t="s">
        <v>436</v>
      </c>
    </row>
    <row r="18" spans="2:9" ht="19.5" customHeight="1" thickBot="1" x14ac:dyDescent="0.25">
      <c r="B18" s="246"/>
      <c r="C18" s="110"/>
      <c r="D18" s="111"/>
      <c r="E18" s="112">
        <v>1</v>
      </c>
      <c r="F18" s="113" t="s">
        <v>436</v>
      </c>
      <c r="G18" s="114" t="s">
        <v>7</v>
      </c>
      <c r="H18" s="152">
        <f>E18/12</f>
        <v>8.3333333333333329E-2</v>
      </c>
      <c r="I18" s="115" t="s">
        <v>437</v>
      </c>
    </row>
    <row r="19" spans="2:9" ht="19.5" customHeight="1" thickBot="1" x14ac:dyDescent="0.25"/>
    <row r="20" spans="2:9" ht="19.5" customHeight="1" x14ac:dyDescent="0.2">
      <c r="B20" s="245" t="s">
        <v>438</v>
      </c>
      <c r="C20" s="104" t="s">
        <v>439</v>
      </c>
      <c r="D20" s="105"/>
      <c r="E20" s="106">
        <v>1</v>
      </c>
      <c r="F20" s="107" t="s">
        <v>435</v>
      </c>
      <c r="G20" s="108" t="s">
        <v>7</v>
      </c>
      <c r="H20" s="151">
        <f>E20*52</f>
        <v>52</v>
      </c>
      <c r="I20" s="109" t="s">
        <v>440</v>
      </c>
    </row>
    <row r="21" spans="2:9" ht="19.5" customHeight="1" thickBot="1" x14ac:dyDescent="0.25">
      <c r="B21" s="246"/>
      <c r="C21" s="110"/>
      <c r="D21" s="145"/>
      <c r="E21" s="112">
        <v>52</v>
      </c>
      <c r="F21" s="113" t="s">
        <v>440</v>
      </c>
      <c r="G21" s="114" t="s">
        <v>7</v>
      </c>
      <c r="H21" s="152">
        <f>E21/52</f>
        <v>1</v>
      </c>
      <c r="I21" s="115" t="s">
        <v>437</v>
      </c>
    </row>
    <row r="22" spans="2:9" ht="19.5" customHeight="1" thickBot="1" x14ac:dyDescent="0.25"/>
    <row r="23" spans="2:9" ht="19.5" customHeight="1" x14ac:dyDescent="0.2">
      <c r="B23" s="245" t="s">
        <v>441</v>
      </c>
      <c r="C23" s="104" t="s">
        <v>442</v>
      </c>
      <c r="D23" s="105"/>
      <c r="E23" s="106">
        <v>1</v>
      </c>
      <c r="F23" s="107" t="s">
        <v>435</v>
      </c>
      <c r="G23" s="108" t="s">
        <v>7</v>
      </c>
      <c r="H23" s="151">
        <f>E23*365.25</f>
        <v>365.25</v>
      </c>
      <c r="I23" s="109" t="s">
        <v>443</v>
      </c>
    </row>
    <row r="24" spans="2:9" ht="19.5" customHeight="1" thickBot="1" x14ac:dyDescent="0.25">
      <c r="B24" s="246"/>
      <c r="C24" s="110"/>
      <c r="D24" s="145"/>
      <c r="E24" s="144">
        <v>360</v>
      </c>
      <c r="F24" s="113" t="s">
        <v>443</v>
      </c>
      <c r="G24" s="114" t="s">
        <v>7</v>
      </c>
      <c r="H24" s="152">
        <f>E24/365.25</f>
        <v>0.98562628336755642</v>
      </c>
      <c r="I24" s="115" t="s">
        <v>437</v>
      </c>
    </row>
  </sheetData>
  <sheetProtection password="D910" sheet="1" objects="1" scenarios="1" selectLockedCells="1"/>
  <mergeCells count="11">
    <mergeCell ref="B11:B12"/>
    <mergeCell ref="B14:B15"/>
    <mergeCell ref="B17:B18"/>
    <mergeCell ref="B20:B21"/>
    <mergeCell ref="B23:B24"/>
    <mergeCell ref="B8:B9"/>
    <mergeCell ref="B2:F2"/>
    <mergeCell ref="G2:I2"/>
    <mergeCell ref="E4:F4"/>
    <mergeCell ref="H4:I4"/>
    <mergeCell ref="B5:B6"/>
  </mergeCells>
  <hyperlinks>
    <hyperlink ref="G2" location="Main!A1" display="MAIN SHEET"/>
  </hyperlinks>
  <pageMargins left="0.25" right="0.25" top="0.75" bottom="0.75" header="0.3" footer="0.3"/>
  <pageSetup scale="9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A2" sqref="A2"/>
    </sheetView>
  </sheetViews>
  <sheetFormatPr defaultRowHeight="19.149999999999999" customHeight="1" x14ac:dyDescent="0.2"/>
  <cols>
    <col min="1" max="1" width="3.85546875" style="99" customWidth="1"/>
    <col min="2" max="2" width="25.42578125" style="99" customWidth="1"/>
    <col min="3" max="3" width="28" style="99" customWidth="1"/>
    <col min="4" max="4" width="2.7109375" style="99" customWidth="1"/>
    <col min="5" max="5" width="10.140625" style="99" customWidth="1"/>
    <col min="6" max="6" width="12.42578125" style="99" customWidth="1"/>
    <col min="7" max="7" width="5.140625" style="99" customWidth="1"/>
    <col min="8" max="8" width="10" style="99" customWidth="1"/>
    <col min="9" max="9" width="12.28515625" style="99" customWidth="1"/>
    <col min="10" max="16384" width="9.140625" style="99"/>
  </cols>
  <sheetData>
    <row r="1" spans="1:9" ht="12" customHeight="1" thickBot="1" x14ac:dyDescent="0.25"/>
    <row r="2" spans="1:9" ht="19.149999999999999" customHeight="1" thickBot="1" x14ac:dyDescent="0.25">
      <c r="A2" s="98"/>
      <c r="B2" s="236" t="s">
        <v>417</v>
      </c>
      <c r="C2" s="236"/>
      <c r="D2" s="236"/>
      <c r="E2" s="236"/>
      <c r="F2" s="237"/>
      <c r="G2" s="247" t="s">
        <v>211</v>
      </c>
      <c r="H2" s="248"/>
      <c r="I2" s="249"/>
    </row>
    <row r="3" spans="1:9" ht="21" customHeight="1" thickTop="1" thickBot="1" x14ac:dyDescent="0.25">
      <c r="B3" s="18"/>
      <c r="D3" s="1"/>
    </row>
    <row r="4" spans="1:9" ht="19.5" customHeight="1" thickBot="1" x14ac:dyDescent="0.25">
      <c r="B4" s="119" t="s">
        <v>232</v>
      </c>
      <c r="C4" s="120" t="s">
        <v>42</v>
      </c>
      <c r="E4" s="250" t="s">
        <v>101</v>
      </c>
      <c r="F4" s="251"/>
      <c r="H4" s="250" t="s">
        <v>8</v>
      </c>
      <c r="I4" s="251"/>
    </row>
    <row r="5" spans="1:9" ht="19.5" customHeight="1" x14ac:dyDescent="0.2">
      <c r="B5" s="245" t="s">
        <v>402</v>
      </c>
      <c r="C5" s="104" t="s">
        <v>403</v>
      </c>
      <c r="D5" s="105"/>
      <c r="E5" s="106">
        <v>1</v>
      </c>
      <c r="F5" s="107" t="s">
        <v>367</v>
      </c>
      <c r="G5" s="108" t="s">
        <v>7</v>
      </c>
      <c r="H5" s="149">
        <f>E5*144</f>
        <v>144</v>
      </c>
      <c r="I5" s="109" t="s">
        <v>404</v>
      </c>
    </row>
    <row r="6" spans="1:9" ht="19.5" customHeight="1" thickBot="1" x14ac:dyDescent="0.25">
      <c r="B6" s="246"/>
      <c r="C6" s="110" t="s">
        <v>405</v>
      </c>
      <c r="D6" s="111"/>
      <c r="E6" s="112">
        <v>1</v>
      </c>
      <c r="F6" s="113" t="s">
        <v>404</v>
      </c>
      <c r="G6" s="114" t="s">
        <v>7</v>
      </c>
      <c r="H6" s="189">
        <f>E6/144</f>
        <v>6.9444444444444441E-3</v>
      </c>
      <c r="I6" s="115" t="s">
        <v>367</v>
      </c>
    </row>
    <row r="7" spans="1:9" ht="19.5" customHeight="1" thickBot="1" x14ac:dyDescent="0.25"/>
    <row r="8" spans="1:9" ht="19.5" customHeight="1" x14ac:dyDescent="0.2">
      <c r="B8" s="245" t="s">
        <v>365</v>
      </c>
      <c r="C8" s="104" t="s">
        <v>406</v>
      </c>
      <c r="D8" s="105"/>
      <c r="E8" s="106">
        <v>1</v>
      </c>
      <c r="F8" s="107" t="s">
        <v>367</v>
      </c>
      <c r="G8" s="108" t="s">
        <v>7</v>
      </c>
      <c r="H8" s="190">
        <f>E8*0.0929</f>
        <v>9.2899999999999996E-2</v>
      </c>
      <c r="I8" s="109" t="s">
        <v>407</v>
      </c>
    </row>
    <row r="9" spans="1:9" ht="19.5" customHeight="1" thickBot="1" x14ac:dyDescent="0.25">
      <c r="B9" s="246"/>
      <c r="C9" s="110" t="s">
        <v>369</v>
      </c>
      <c r="D9" s="111"/>
      <c r="E9" s="112">
        <v>1</v>
      </c>
      <c r="F9" s="113" t="s">
        <v>407</v>
      </c>
      <c r="G9" s="114" t="s">
        <v>7</v>
      </c>
      <c r="H9" s="216" t="s">
        <v>451</v>
      </c>
      <c r="I9" s="115" t="s">
        <v>367</v>
      </c>
    </row>
    <row r="10" spans="1:9" ht="19.5" customHeight="1" thickBot="1" x14ac:dyDescent="0.25"/>
    <row r="11" spans="1:9" ht="19.5" customHeight="1" x14ac:dyDescent="0.2">
      <c r="B11" s="245" t="s">
        <v>408</v>
      </c>
      <c r="C11" s="104" t="s">
        <v>409</v>
      </c>
      <c r="D11" s="105"/>
      <c r="E11" s="106">
        <v>1</v>
      </c>
      <c r="F11" s="107" t="s">
        <v>367</v>
      </c>
      <c r="G11" s="108" t="s">
        <v>7</v>
      </c>
      <c r="H11" s="151">
        <f>E11*929</f>
        <v>929</v>
      </c>
      <c r="I11" s="109" t="s">
        <v>410</v>
      </c>
    </row>
    <row r="12" spans="1:9" ht="19.5" customHeight="1" thickBot="1" x14ac:dyDescent="0.25">
      <c r="B12" s="246"/>
      <c r="C12" s="110" t="s">
        <v>411</v>
      </c>
      <c r="D12" s="111"/>
      <c r="E12" s="144">
        <v>1</v>
      </c>
      <c r="F12" s="113" t="s">
        <v>410</v>
      </c>
      <c r="G12" s="114" t="s">
        <v>7</v>
      </c>
      <c r="H12" s="152">
        <f>E12/929</f>
        <v>1.076426264800861E-3</v>
      </c>
      <c r="I12" s="115" t="s">
        <v>367</v>
      </c>
    </row>
    <row r="13" spans="1:9" ht="19.5" customHeight="1" thickBot="1" x14ac:dyDescent="0.25"/>
    <row r="14" spans="1:9" ht="19.5" customHeight="1" x14ac:dyDescent="0.2">
      <c r="B14" s="245" t="s">
        <v>412</v>
      </c>
      <c r="C14" s="104" t="s">
        <v>413</v>
      </c>
      <c r="D14" s="105"/>
      <c r="E14" s="106">
        <v>1</v>
      </c>
      <c r="F14" s="107" t="s">
        <v>414</v>
      </c>
      <c r="G14" s="108" t="s">
        <v>7</v>
      </c>
      <c r="H14" s="190">
        <f>E14*0.1111</f>
        <v>0.1111</v>
      </c>
      <c r="I14" s="109" t="s">
        <v>415</v>
      </c>
    </row>
    <row r="15" spans="1:9" ht="19.5" customHeight="1" thickBot="1" x14ac:dyDescent="0.25">
      <c r="B15" s="246"/>
      <c r="C15" s="110" t="s">
        <v>416</v>
      </c>
      <c r="D15" s="111"/>
      <c r="E15" s="112">
        <v>1</v>
      </c>
      <c r="F15" s="113" t="s">
        <v>415</v>
      </c>
      <c r="G15" s="114" t="s">
        <v>7</v>
      </c>
      <c r="H15" s="216" t="s">
        <v>451</v>
      </c>
      <c r="I15" s="115" t="s">
        <v>367</v>
      </c>
    </row>
    <row r="16" spans="1:9" ht="19.5" customHeight="1" x14ac:dyDescent="0.2"/>
    <row r="17" ht="19.5" customHeight="1" x14ac:dyDescent="0.2"/>
    <row r="18" ht="19.5" customHeight="1" x14ac:dyDescent="0.2"/>
    <row r="19" ht="19.5" customHeight="1" x14ac:dyDescent="0.2"/>
    <row r="20" ht="19.5" customHeight="1" x14ac:dyDescent="0.2"/>
    <row r="21" ht="19.5" customHeight="1" x14ac:dyDescent="0.2"/>
  </sheetData>
  <sheetProtection password="D910" sheet="1" objects="1" scenarios="1" selectLockedCells="1"/>
  <mergeCells count="8">
    <mergeCell ref="B11:B12"/>
    <mergeCell ref="B14:B15"/>
    <mergeCell ref="B2:F2"/>
    <mergeCell ref="G2:I2"/>
    <mergeCell ref="E4:F4"/>
    <mergeCell ref="H4:I4"/>
    <mergeCell ref="B5:B6"/>
    <mergeCell ref="B8:B9"/>
  </mergeCells>
  <hyperlinks>
    <hyperlink ref="G2" location="Main!A1" display="MAIN SHEET"/>
  </hyperlinks>
  <pageMargins left="0.25" right="0.25" top="0.75" bottom="0.75" header="0.3" footer="0.3"/>
  <pageSetup scale="94"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Main</vt:lpstr>
      <vt:lpstr>Temperature</vt:lpstr>
      <vt:lpstr>Distance</vt:lpstr>
      <vt:lpstr>Volume</vt:lpstr>
      <vt:lpstr>Velocity</vt:lpstr>
      <vt:lpstr>Pressure</vt:lpstr>
      <vt:lpstr>Weight</vt:lpstr>
      <vt:lpstr>Time Date</vt:lpstr>
      <vt:lpstr>Area</vt:lpstr>
      <vt:lpstr>Energy</vt:lpstr>
      <vt:lpstr>Power</vt:lpstr>
      <vt:lpstr>Feet-inches</vt:lpstr>
      <vt:lpstr>US vs Metric</vt:lpstr>
      <vt:lpstr>Disclaimer</vt:lpstr>
      <vt:lpstr>Disclaimer!Print_Area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jp</cp:lastModifiedBy>
  <cp:lastPrinted>2015-04-28T23:23:02Z</cp:lastPrinted>
  <dcterms:created xsi:type="dcterms:W3CDTF">2007-02-04T20:45:24Z</dcterms:created>
  <dcterms:modified xsi:type="dcterms:W3CDTF">2018-02-04T16:33:37Z</dcterms:modified>
</cp:coreProperties>
</file>